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codeName="{564CA151-5A5B-428A-3C10-775976492406}"/>
  <workbookPr codeName="DieseArbeitsmappe" defaultThemeVersion="124226"/>
  <mc:AlternateContent xmlns:mc="http://schemas.openxmlformats.org/markup-compatibility/2006">
    <mc:Choice Requires="x15">
      <x15ac:absPath xmlns:x15ac="http://schemas.microsoft.com/office/spreadsheetml/2010/11/ac" url="C:\! Thomas Arbeit Hilti\3 Fachlich_Ingenieurhoch- u. Tiefbau\2 Brücke\! Anwendungen\Kappenverankerung\Bemessungs-Tool\Version 8.0\"/>
    </mc:Choice>
  </mc:AlternateContent>
  <xr:revisionPtr revIDLastSave="0" documentId="13_ncr:1_{1FEC7400-1538-473D-A8D0-8565A5083BAC}" xr6:coauthVersionLast="45" xr6:coauthVersionMax="45" xr10:uidLastSave="{00000000-0000-0000-0000-000000000000}"/>
  <bookViews>
    <workbookView xWindow="46" yWindow="357" windowWidth="21416" windowHeight="11290" tabRatio="840" activeTab="1" xr2:uid="{00000000-000D-0000-FFFF-FFFF00000000}"/>
  </bookViews>
  <sheets>
    <sheet name="Haftung" sheetId="1" r:id="rId1"/>
    <sheet name="Kontakt" sheetId="8" r:id="rId2"/>
    <sheet name="Einleitung" sheetId="2" state="veryHidden" r:id="rId3"/>
    <sheet name="Einwirkungen" sheetId="16" state="veryHidden" r:id="rId4"/>
    <sheet name="Hilti Richtdetails" sheetId="19" r:id="rId5"/>
    <sheet name="Eingabe" sheetId="3" state="veryHidden" r:id="rId6"/>
    <sheet name="Exceptionslist" sheetId="18" state="veryHidden" r:id="rId7"/>
    <sheet name="Ausdruck_2-reihig" sheetId="4" state="veryHidden" r:id="rId8"/>
    <sheet name="Ausdruck_1-reihig" sheetId="5" state="veryHidden" r:id="rId9"/>
    <sheet name="Ausdruck_2-reihig+Bew.,Schw." sheetId="6" state="veryHidden" r:id="rId10"/>
    <sheet name="Ausdruck_1-reihig+Bew.,Schw." sheetId="7" state="veryHidden" r:id="rId11"/>
    <sheet name="Grafiken" sheetId="9" state="veryHidden" r:id="rId12"/>
    <sheet name="Tragwerk" sheetId="10" state="veryHidden" r:id="rId13"/>
    <sheet name="Kappe" sheetId="11" state="veryHidden" r:id="rId14"/>
    <sheet name="Ausschreibungstext" sheetId="13" state="veryHidden" r:id="rId15"/>
    <sheet name="Zulassung" sheetId="12" state="veryHidden" r:id="rId16"/>
    <sheet name="Lastan" sheetId="14" state="veryHidden" r:id="rId17"/>
    <sheet name="Tabelle2" sheetId="17" state="veryHidden" r:id="rId18"/>
  </sheets>
  <functionGroups builtInGroupCount="19"/>
  <definedNames>
    <definedName name="_xlnm.Print_Area" localSheetId="8">'Ausdruck_1-reihig'!$A$1:$J$380</definedName>
    <definedName name="_xlnm.Print_Area" localSheetId="10">'Ausdruck_1-reihig+Bew.,Schw.'!$A$1:$J$394</definedName>
    <definedName name="_xlnm.Print_Area" localSheetId="7">'Ausdruck_2-reihig'!$A$1:$J$647</definedName>
    <definedName name="_xlnm.Print_Area" localSheetId="9">'Ausdruck_2-reihig+Bew.,Schw.'!$A$1:$J$662</definedName>
    <definedName name="_xlnm.Print_Area" localSheetId="3">Einwirkungen!$B$1:$L$205</definedName>
    <definedName name="_xlnm.Print_Area" localSheetId="4">'Hilti Richtdetails'!$A$1:$P$59</definedName>
    <definedName name="_xlnm.Print_Area" localSheetId="13">Kappe!$A$1:$S$98</definedName>
    <definedName name="_xlnm.Print_Area" localSheetId="12">Tragwerk!$A$1:$T$109</definedName>
    <definedName name="Z_39DD0EDE_63E7_470F_AA9E_0FA02F254C3F_.wvu.PrintArea" localSheetId="8" hidden="1">'Ausdruck_1-reihig'!$A$1:$K$262</definedName>
    <definedName name="Z_39DD0EDE_63E7_470F_AA9E_0FA02F254C3F_.wvu.PrintArea" localSheetId="7" hidden="1">'Ausdruck_2-reihig'!$A$1:$K$396</definedName>
    <definedName name="Z_39DD0EDE_63E7_470F_AA9E_0FA02F254C3F_.wvu.PrintArea" localSheetId="9" hidden="1">'Ausdruck_2-reihig+Bew.,Schw.'!$A$1:$K$400</definedName>
  </definedNames>
  <calcPr calcId="191029"/>
  <customWorkbookViews>
    <customWorkbookView name="Luetzow, Thomas - Persönliche Ansicht" guid="{39DD0EDE-63E7-470F-AA9E-0FA02F254C3F}" mergeInterval="0" personalView="1" maximized="1" showHorizontalScroll="0" windowWidth="1875" windowHeight="894" tabRatio="860"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52" i="6" l="1"/>
  <c r="D655" i="6" s="1"/>
  <c r="D660" i="6" s="1"/>
  <c r="D658" i="6" l="1"/>
  <c r="D659" i="6"/>
  <c r="D384" i="7"/>
  <c r="D387" i="7" s="1"/>
  <c r="D391" i="7" l="1"/>
  <c r="D392" i="7"/>
  <c r="D390" i="7"/>
  <c r="Q23" i="11"/>
  <c r="L23" i="11"/>
  <c r="G23" i="11"/>
  <c r="B23" i="11"/>
  <c r="Q66" i="11"/>
  <c r="L66" i="11"/>
  <c r="G66" i="11"/>
  <c r="B66" i="11"/>
  <c r="B49" i="11"/>
  <c r="Q35" i="11"/>
  <c r="L35" i="11"/>
  <c r="G35" i="11"/>
  <c r="B35" i="11"/>
  <c r="R73" i="10"/>
  <c r="R49" i="10"/>
  <c r="R38" i="10"/>
  <c r="M73" i="10"/>
  <c r="M49" i="10"/>
  <c r="M38" i="10"/>
  <c r="G73" i="10"/>
  <c r="G49" i="10"/>
  <c r="G38" i="10"/>
  <c r="B38" i="10"/>
  <c r="B73" i="10"/>
  <c r="B49" i="10"/>
  <c r="D50" i="4" l="1"/>
  <c r="D49" i="5"/>
  <c r="D48" i="7" l="1"/>
  <c r="D50" i="6"/>
  <c r="N2" i="3"/>
  <c r="O17" i="3" s="1"/>
  <c r="N3" i="3" l="1"/>
  <c r="D603" i="4" s="1"/>
  <c r="B6" i="10"/>
  <c r="G6" i="10" s="1"/>
  <c r="E5" i="18"/>
  <c r="E3" i="18"/>
  <c r="Q64" i="3"/>
  <c r="R64" i="3"/>
  <c r="S64" i="3"/>
  <c r="T64" i="3"/>
  <c r="Q65" i="3"/>
  <c r="R65" i="3"/>
  <c r="S65" i="3"/>
  <c r="T65" i="3"/>
  <c r="Q66" i="3"/>
  <c r="R66" i="3"/>
  <c r="S66" i="3"/>
  <c r="T66" i="3"/>
  <c r="D42" i="5"/>
  <c r="E56" i="6"/>
  <c r="A113" i="6"/>
  <c r="A111" i="7"/>
  <c r="A113" i="4"/>
  <c r="S56" i="3"/>
  <c r="S55" i="3"/>
  <c r="AC30" i="3"/>
  <c r="AC29" i="3"/>
  <c r="AC28" i="3"/>
  <c r="D51" i="4"/>
  <c r="D50" i="5"/>
  <c r="D51" i="6"/>
  <c r="D49" i="7"/>
  <c r="D54" i="6"/>
  <c r="D52" i="7"/>
  <c r="D53" i="5"/>
  <c r="D54" i="4"/>
  <c r="E60" i="6"/>
  <c r="B59" i="6"/>
  <c r="B57" i="7"/>
  <c r="B58" i="5"/>
  <c r="B59" i="4"/>
  <c r="O105" i="3"/>
  <c r="D60" i="4" s="1"/>
  <c r="G60" i="5"/>
  <c r="G66" i="6"/>
  <c r="G64" i="7"/>
  <c r="G65" i="5"/>
  <c r="G66" i="4"/>
  <c r="D629" i="6"/>
  <c r="D577" i="6"/>
  <c r="D557" i="6"/>
  <c r="D496" i="6"/>
  <c r="D444" i="6"/>
  <c r="D424" i="6"/>
  <c r="D363" i="6"/>
  <c r="D311" i="6"/>
  <c r="D291" i="6"/>
  <c r="D230" i="6"/>
  <c r="D178" i="6"/>
  <c r="D158" i="6"/>
  <c r="D361" i="7"/>
  <c r="D309" i="7"/>
  <c r="D289" i="7"/>
  <c r="D228" i="7"/>
  <c r="D176" i="7"/>
  <c r="D156" i="7"/>
  <c r="K60" i="3"/>
  <c r="I60" i="3"/>
  <c r="K48" i="3"/>
  <c r="I48" i="3"/>
  <c r="I47" i="3"/>
  <c r="W2" i="3"/>
  <c r="D310" i="5"/>
  <c r="D177" i="5"/>
  <c r="D637" i="6"/>
  <c r="D369" i="7"/>
  <c r="G80" i="11"/>
  <c r="B80" i="11"/>
  <c r="D621" i="6"/>
  <c r="D353" i="7"/>
  <c r="D355" i="4"/>
  <c r="D222" i="6"/>
  <c r="D605" i="4"/>
  <c r="D337" i="7"/>
  <c r="D339" i="4"/>
  <c r="D204" i="7"/>
  <c r="D536" i="6"/>
  <c r="D403" i="4"/>
  <c r="D270" i="4"/>
  <c r="D135" i="7"/>
  <c r="D549" i="4"/>
  <c r="D416" i="6"/>
  <c r="D283" i="4"/>
  <c r="D148" i="7"/>
  <c r="D565" i="4"/>
  <c r="M87" i="10"/>
  <c r="D299" i="6"/>
  <c r="B87" i="10"/>
  <c r="D179" i="5" s="1"/>
  <c r="D577" i="4"/>
  <c r="D444" i="4"/>
  <c r="D311" i="4"/>
  <c r="D178" i="4"/>
  <c r="D432" i="6"/>
  <c r="D297" i="7"/>
  <c r="D504" i="6"/>
  <c r="Y56" i="3"/>
  <c r="X50" i="3"/>
  <c r="B10" i="11" s="1"/>
  <c r="B14" i="11"/>
  <c r="C14" i="11"/>
  <c r="D14" i="11"/>
  <c r="G14" i="11"/>
  <c r="H14" i="11"/>
  <c r="I14" i="11"/>
  <c r="L14" i="11"/>
  <c r="M14" i="11"/>
  <c r="N14" i="11"/>
  <c r="S14" i="11"/>
  <c r="R14" i="11"/>
  <c r="Q14" i="11"/>
  <c r="T54" i="3"/>
  <c r="T53" i="3"/>
  <c r="T52" i="3"/>
  <c r="AE50" i="3"/>
  <c r="M79" i="3" s="1"/>
  <c r="B64" i="5"/>
  <c r="B63" i="7"/>
  <c r="B65" i="6"/>
  <c r="B65" i="4"/>
  <c r="B34" i="6"/>
  <c r="B33" i="7"/>
  <c r="B34" i="5"/>
  <c r="B34" i="4"/>
  <c r="D52" i="4"/>
  <c r="D52" i="5"/>
  <c r="D48" i="5"/>
  <c r="D53" i="4"/>
  <c r="D49" i="4"/>
  <c r="D47" i="7"/>
  <c r="D49" i="6"/>
  <c r="D53" i="6"/>
  <c r="Z23" i="3"/>
  <c r="Z50" i="3"/>
  <c r="AB50" i="3"/>
  <c r="AA50" i="3"/>
  <c r="AD46" i="3"/>
  <c r="T51" i="3" s="1"/>
  <c r="AD45" i="3"/>
  <c r="C21" i="11" s="1"/>
  <c r="C47" i="11" s="1"/>
  <c r="AD44" i="3"/>
  <c r="G21" i="11" s="1"/>
  <c r="G47" i="11" s="1"/>
  <c r="I21" i="11"/>
  <c r="I47" i="11" s="1"/>
  <c r="S21" i="11"/>
  <c r="D21" i="11"/>
  <c r="D47" i="11" s="1"/>
  <c r="N21" i="11"/>
  <c r="D469" i="4" s="1"/>
  <c r="V50" i="3"/>
  <c r="W50" i="3" s="1"/>
  <c r="AD50" i="3"/>
  <c r="X46" i="3"/>
  <c r="X45" i="3"/>
  <c r="X44" i="3"/>
  <c r="W44" i="3"/>
  <c r="T58" i="3" s="1"/>
  <c r="C21" i="3" s="1"/>
  <c r="B4" i="10"/>
  <c r="F9" i="13"/>
  <c r="F10" i="13" s="1"/>
  <c r="K11" i="18"/>
  <c r="J11" i="18"/>
  <c r="D38" i="6"/>
  <c r="D596" i="6"/>
  <c r="D547" i="6"/>
  <c r="D535" i="6"/>
  <c r="D534" i="6"/>
  <c r="D533" i="6"/>
  <c r="D521" i="6"/>
  <c r="D520" i="6"/>
  <c r="D485" i="6"/>
  <c r="D484" i="6"/>
  <c r="D483" i="6"/>
  <c r="D481" i="6"/>
  <c r="D463" i="6"/>
  <c r="D462" i="6"/>
  <c r="D414" i="6"/>
  <c r="D402" i="6"/>
  <c r="D401" i="6"/>
  <c r="D400" i="6"/>
  <c r="D388" i="6"/>
  <c r="D387" i="6"/>
  <c r="D350" i="7"/>
  <c r="D349" i="7"/>
  <c r="D348" i="7"/>
  <c r="D346" i="7"/>
  <c r="D328" i="7"/>
  <c r="D327" i="7"/>
  <c r="D279" i="7"/>
  <c r="D267" i="7"/>
  <c r="D266" i="7"/>
  <c r="D265" i="7"/>
  <c r="D253" i="7"/>
  <c r="D252" i="7"/>
  <c r="D629" i="4"/>
  <c r="D596" i="4"/>
  <c r="D557" i="4"/>
  <c r="D547" i="4"/>
  <c r="D535" i="4"/>
  <c r="D534" i="4"/>
  <c r="D533" i="4"/>
  <c r="D521" i="4"/>
  <c r="D520" i="4"/>
  <c r="D496" i="4"/>
  <c r="D485" i="4"/>
  <c r="D484" i="4"/>
  <c r="D483" i="4"/>
  <c r="D481" i="4"/>
  <c r="D463" i="4"/>
  <c r="D462" i="4"/>
  <c r="D424" i="4"/>
  <c r="D414" i="4"/>
  <c r="D402" i="4"/>
  <c r="D401" i="4"/>
  <c r="D400" i="4"/>
  <c r="D388" i="4"/>
  <c r="D387" i="4"/>
  <c r="D362" i="5"/>
  <c r="D351" i="5"/>
  <c r="D350" i="5"/>
  <c r="D349" i="5"/>
  <c r="D347" i="5"/>
  <c r="D329" i="5"/>
  <c r="D328" i="5"/>
  <c r="D290" i="5"/>
  <c r="D280" i="5"/>
  <c r="D268" i="5"/>
  <c r="D267" i="5"/>
  <c r="D266" i="5"/>
  <c r="D254" i="5"/>
  <c r="D253" i="5"/>
  <c r="Q26" i="11"/>
  <c r="D614" i="6" s="1"/>
  <c r="N19" i="11"/>
  <c r="D329" i="7" s="1"/>
  <c r="D102" i="7" s="1"/>
  <c r="M19" i="11"/>
  <c r="L19" i="11"/>
  <c r="R71" i="10"/>
  <c r="D563" i="6" s="1"/>
  <c r="M71" i="10"/>
  <c r="D295" i="7" s="1"/>
  <c r="D488" i="4"/>
  <c r="D488" i="6"/>
  <c r="D354" i="5"/>
  <c r="D298" i="5"/>
  <c r="D370" i="5"/>
  <c r="D504" i="4"/>
  <c r="D472" i="6"/>
  <c r="D338" i="5"/>
  <c r="D472" i="4"/>
  <c r="T19" i="10"/>
  <c r="T18" i="10"/>
  <c r="T17" i="10"/>
  <c r="T16" i="10"/>
  <c r="S19" i="10"/>
  <c r="S18" i="10"/>
  <c r="S17" i="10"/>
  <c r="S16" i="10"/>
  <c r="R19" i="10"/>
  <c r="R18" i="10"/>
  <c r="R17" i="10"/>
  <c r="R16" i="10"/>
  <c r="O15" i="10"/>
  <c r="O28" i="10" s="1"/>
  <c r="N15" i="10"/>
  <c r="N45" i="10" s="1"/>
  <c r="M15" i="10"/>
  <c r="M28" i="10" s="1"/>
  <c r="T25" i="10"/>
  <c r="D522" i="4" s="1"/>
  <c r="G104" i="4" s="1"/>
  <c r="S25" i="10"/>
  <c r="R25" i="10"/>
  <c r="O25" i="10"/>
  <c r="D389" i="4" s="1"/>
  <c r="C104" i="4" s="1"/>
  <c r="N25" i="10"/>
  <c r="M25" i="10"/>
  <c r="Q51" i="11"/>
  <c r="Q88" i="11" s="1"/>
  <c r="R51" i="11"/>
  <c r="R88" i="11" s="1"/>
  <c r="S51" i="11"/>
  <c r="M6" i="10"/>
  <c r="D269" i="5"/>
  <c r="D268" i="7"/>
  <c r="D403" i="6"/>
  <c r="D416" i="4"/>
  <c r="D281" i="7"/>
  <c r="D282" i="5"/>
  <c r="H2" i="16"/>
  <c r="G61" i="6"/>
  <c r="G59" i="7"/>
  <c r="G61" i="4"/>
  <c r="G5" i="10"/>
  <c r="B5" i="10"/>
  <c r="S16" i="3"/>
  <c r="S15" i="3"/>
  <c r="D12" i="16"/>
  <c r="D14" i="16" s="1"/>
  <c r="D15" i="16" s="1"/>
  <c r="B2" i="16"/>
  <c r="G65" i="7"/>
  <c r="G67" i="6"/>
  <c r="G66" i="5"/>
  <c r="D40" i="7"/>
  <c r="D41" i="6"/>
  <c r="D41" i="5"/>
  <c r="D41" i="4"/>
  <c r="I59" i="3"/>
  <c r="I46" i="3"/>
  <c r="S12" i="11"/>
  <c r="R12" i="11"/>
  <c r="Q12" i="11"/>
  <c r="K61" i="3"/>
  <c r="I61" i="3"/>
  <c r="K59" i="3"/>
  <c r="K58" i="3"/>
  <c r="I58" i="3"/>
  <c r="K57" i="3"/>
  <c r="I57" i="3"/>
  <c r="K55" i="3"/>
  <c r="I55" i="3"/>
  <c r="K54" i="3"/>
  <c r="I54" i="3"/>
  <c r="K53" i="3"/>
  <c r="I53" i="3"/>
  <c r="Q107" i="10"/>
  <c r="L107" i="10"/>
  <c r="T7" i="3"/>
  <c r="L6" i="11" s="1"/>
  <c r="I49" i="3"/>
  <c r="K47" i="3"/>
  <c r="Q95" i="11"/>
  <c r="L95" i="11"/>
  <c r="S88" i="11"/>
  <c r="N88" i="11"/>
  <c r="M88" i="11"/>
  <c r="L88" i="11"/>
  <c r="Q108" i="10"/>
  <c r="Q106" i="10"/>
  <c r="L108" i="10"/>
  <c r="L106" i="10"/>
  <c r="R102" i="10"/>
  <c r="M102" i="10"/>
  <c r="R95" i="10"/>
  <c r="T95" i="10"/>
  <c r="S95" i="10"/>
  <c r="O95" i="10"/>
  <c r="N95" i="10"/>
  <c r="M95" i="10"/>
  <c r="B102" i="10"/>
  <c r="AB4" i="9" s="1"/>
  <c r="D51" i="7"/>
  <c r="F5" i="3"/>
  <c r="M3" i="10" s="1"/>
  <c r="G49" i="11"/>
  <c r="D40" i="4"/>
  <c r="B71" i="10"/>
  <c r="D162" i="7" s="1"/>
  <c r="G71" i="10"/>
  <c r="D297" i="6" s="1"/>
  <c r="D15" i="10"/>
  <c r="D28" i="10" s="1"/>
  <c r="K43" i="3"/>
  <c r="K42" i="3"/>
  <c r="I43" i="3"/>
  <c r="I42" i="3"/>
  <c r="B61" i="6"/>
  <c r="B59" i="7"/>
  <c r="B60" i="5"/>
  <c r="B61" i="4"/>
  <c r="B95" i="11"/>
  <c r="AB8" i="9" s="1"/>
  <c r="G102" i="10"/>
  <c r="AB14" i="9" s="1"/>
  <c r="K49" i="3"/>
  <c r="K46" i="3"/>
  <c r="K45" i="3"/>
  <c r="I45" i="3"/>
  <c r="K41" i="3"/>
  <c r="I41" i="3"/>
  <c r="G95" i="11"/>
  <c r="AB18" i="9" s="1"/>
  <c r="B8" i="11"/>
  <c r="G8" i="11" s="1"/>
  <c r="B7" i="11"/>
  <c r="G7" i="11" s="1"/>
  <c r="G5" i="11"/>
  <c r="B5" i="11"/>
  <c r="Y77" i="10"/>
  <c r="Y78" i="10" s="1"/>
  <c r="C15" i="10"/>
  <c r="C28" i="10" s="1"/>
  <c r="B15" i="10"/>
  <c r="B28" i="10" s="1"/>
  <c r="B8" i="10"/>
  <c r="B7" i="10"/>
  <c r="G7" i="10" s="1"/>
  <c r="D216" i="7"/>
  <c r="D215" i="7"/>
  <c r="D194" i="7"/>
  <c r="D146" i="7"/>
  <c r="D134" i="7"/>
  <c r="D133" i="7"/>
  <c r="D132" i="7"/>
  <c r="D119" i="7"/>
  <c r="D38" i="7"/>
  <c r="D53" i="7"/>
  <c r="D50" i="7"/>
  <c r="D39" i="7"/>
  <c r="D41" i="7"/>
  <c r="D37" i="7"/>
  <c r="D36" i="7"/>
  <c r="D218" i="6"/>
  <c r="D217" i="6"/>
  <c r="D196" i="6"/>
  <c r="D148" i="6"/>
  <c r="D136" i="6"/>
  <c r="D135" i="6"/>
  <c r="D134" i="6"/>
  <c r="D121" i="6"/>
  <c r="D39" i="6"/>
  <c r="D55" i="6"/>
  <c r="D52" i="6"/>
  <c r="D40" i="6"/>
  <c r="E57" i="6"/>
  <c r="D42" i="6"/>
  <c r="E40" i="6"/>
  <c r="D43" i="6"/>
  <c r="D37" i="6"/>
  <c r="D217" i="5"/>
  <c r="D216" i="5"/>
  <c r="D195" i="5"/>
  <c r="D147" i="5"/>
  <c r="D135" i="5"/>
  <c r="D134" i="5"/>
  <c r="D133" i="5"/>
  <c r="D120" i="5"/>
  <c r="D39" i="5"/>
  <c r="D54" i="5"/>
  <c r="D51" i="5"/>
  <c r="D40" i="5"/>
  <c r="D38" i="5"/>
  <c r="D37" i="5"/>
  <c r="D218" i="4"/>
  <c r="D217" i="4"/>
  <c r="D196" i="4"/>
  <c r="D148" i="4"/>
  <c r="D136" i="4"/>
  <c r="D135" i="4"/>
  <c r="D134" i="4"/>
  <c r="D121" i="4"/>
  <c r="G67" i="4"/>
  <c r="D39" i="4"/>
  <c r="D55" i="4"/>
  <c r="E39" i="4"/>
  <c r="D42" i="4"/>
  <c r="E40" i="4"/>
  <c r="D43" i="4"/>
  <c r="D38" i="4"/>
  <c r="D37" i="4"/>
  <c r="Y37" i="3"/>
  <c r="W37" i="3"/>
  <c r="D44" i="5" s="1"/>
  <c r="U28" i="3"/>
  <c r="Z25" i="3"/>
  <c r="Y25" i="3"/>
  <c r="W25" i="3"/>
  <c r="V25" i="3"/>
  <c r="U25" i="3"/>
  <c r="Z24" i="3"/>
  <c r="Y24" i="3"/>
  <c r="W24" i="3"/>
  <c r="V24" i="3"/>
  <c r="U24" i="3"/>
  <c r="Y23" i="3"/>
  <c r="X23" i="3"/>
  <c r="W23" i="3"/>
  <c r="AA25" i="3" s="1"/>
  <c r="AC25" i="3" s="1"/>
  <c r="V23" i="3"/>
  <c r="F13" i="3"/>
  <c r="B3" i="11" s="1"/>
  <c r="G3" i="11" s="1"/>
  <c r="T6" i="3"/>
  <c r="B6" i="11" s="1"/>
  <c r="G6" i="11" s="1"/>
  <c r="H14" i="10"/>
  <c r="G14" i="10"/>
  <c r="G95" i="10" s="1"/>
  <c r="I14" i="10"/>
  <c r="I95" i="10" s="1"/>
  <c r="B95" i="10"/>
  <c r="C95" i="10"/>
  <c r="I12" i="11"/>
  <c r="H12" i="11"/>
  <c r="C19" i="11"/>
  <c r="B19" i="11"/>
  <c r="G12" i="11"/>
  <c r="G88" i="11" s="1"/>
  <c r="I17" i="10"/>
  <c r="I19" i="10"/>
  <c r="H17" i="10"/>
  <c r="H19" i="10"/>
  <c r="G17" i="10"/>
  <c r="G19" i="10"/>
  <c r="I23" i="10"/>
  <c r="I25" i="10" s="1"/>
  <c r="H23" i="10"/>
  <c r="H25" i="10" s="1"/>
  <c r="G23" i="10"/>
  <c r="G25" i="10" s="1"/>
  <c r="D25" i="10"/>
  <c r="D123" i="6" s="1"/>
  <c r="C93" i="6" s="1"/>
  <c r="C25" i="10"/>
  <c r="B25" i="10"/>
  <c r="D19" i="11"/>
  <c r="D198" i="4" s="1"/>
  <c r="D93" i="4" s="1"/>
  <c r="G26" i="11"/>
  <c r="D348" i="6" s="1"/>
  <c r="G9" i="11"/>
  <c r="S19" i="11" s="1"/>
  <c r="G18" i="10"/>
  <c r="G16" i="10"/>
  <c r="H16" i="10"/>
  <c r="H18" i="10"/>
  <c r="I16" i="10"/>
  <c r="I18" i="10"/>
  <c r="F107" i="10"/>
  <c r="F108" i="10"/>
  <c r="F106" i="10"/>
  <c r="A107" i="10"/>
  <c r="A108" i="10"/>
  <c r="A106" i="10"/>
  <c r="D95" i="10"/>
  <c r="I5" i="6"/>
  <c r="D122" i="6"/>
  <c r="D197" i="6"/>
  <c r="D215" i="6"/>
  <c r="D255" i="6"/>
  <c r="D283" i="6"/>
  <c r="D330" i="6"/>
  <c r="I5" i="7"/>
  <c r="D120" i="7"/>
  <c r="D195" i="7"/>
  <c r="D213" i="7"/>
  <c r="I5" i="5"/>
  <c r="D121" i="5"/>
  <c r="D157" i="5"/>
  <c r="D196" i="5"/>
  <c r="D214" i="5"/>
  <c r="D229" i="5"/>
  <c r="D371" i="4"/>
  <c r="D363" i="4"/>
  <c r="D215" i="4"/>
  <c r="D330" i="4"/>
  <c r="D299" i="4"/>
  <c r="D291" i="4"/>
  <c r="D255" i="4"/>
  <c r="D230" i="4"/>
  <c r="D197" i="4"/>
  <c r="D158" i="4"/>
  <c r="D122" i="4"/>
  <c r="B88" i="11"/>
  <c r="C88" i="11"/>
  <c r="D88" i="11"/>
  <c r="I5" i="4"/>
  <c r="D217" i="7"/>
  <c r="D218" i="5"/>
  <c r="D219" i="6"/>
  <c r="D219" i="4"/>
  <c r="C7" i="9"/>
  <c r="C17" i="9"/>
  <c r="C13" i="9"/>
  <c r="C3" i="9"/>
  <c r="D614" i="4" l="1"/>
  <c r="B21" i="11"/>
  <c r="D122" i="5"/>
  <c r="C92" i="5" s="1"/>
  <c r="D616" i="6"/>
  <c r="D522" i="6"/>
  <c r="H104" i="6" s="1"/>
  <c r="M21" i="11"/>
  <c r="D196" i="7"/>
  <c r="D91" i="7" s="1"/>
  <c r="D618" i="4"/>
  <c r="H21" i="11"/>
  <c r="F11" i="13"/>
  <c r="F12" i="13" s="1"/>
  <c r="R21" i="11"/>
  <c r="D254" i="6"/>
  <c r="D351" i="4"/>
  <c r="I88" i="11"/>
  <c r="D121" i="7"/>
  <c r="C91" i="7" s="1"/>
  <c r="D595" i="4"/>
  <c r="O20" i="3"/>
  <c r="D41" i="3" s="1"/>
  <c r="C77" i="4" s="1"/>
  <c r="D254" i="7"/>
  <c r="C102" i="7" s="1"/>
  <c r="D464" i="4"/>
  <c r="D104" i="4" s="1"/>
  <c r="T50" i="3"/>
  <c r="AA29" i="3"/>
  <c r="D618" i="6"/>
  <c r="D197" i="5"/>
  <c r="D92" i="5" s="1"/>
  <c r="D198" i="6"/>
  <c r="D93" i="6" s="1"/>
  <c r="D329" i="6"/>
  <c r="D616" i="4"/>
  <c r="D595" i="6"/>
  <c r="D389" i="6"/>
  <c r="C104" i="6" s="1"/>
  <c r="L21" i="11"/>
  <c r="D123" i="4"/>
  <c r="C93" i="4" s="1"/>
  <c r="D329" i="4"/>
  <c r="D464" i="6"/>
  <c r="D104" i="6" s="1"/>
  <c r="D350" i="4"/>
  <c r="D348" i="4"/>
  <c r="H11" i="10"/>
  <c r="T106" i="10" s="1"/>
  <c r="D255" i="5"/>
  <c r="C103" i="5" s="1"/>
  <c r="D330" i="5"/>
  <c r="D103" i="5" s="1"/>
  <c r="D617" i="4"/>
  <c r="D352" i="4"/>
  <c r="H88" i="11"/>
  <c r="D352" i="6"/>
  <c r="D267" i="6"/>
  <c r="D617" i="6"/>
  <c r="D351" i="6"/>
  <c r="Q21" i="11"/>
  <c r="D350" i="6"/>
  <c r="AA24" i="3"/>
  <c r="AC24" i="3" s="1"/>
  <c r="R12" i="10"/>
  <c r="R107" i="10" s="1"/>
  <c r="B45" i="10"/>
  <c r="B75" i="10"/>
  <c r="B79" i="10" s="1"/>
  <c r="B32" i="10"/>
  <c r="G87" i="10"/>
  <c r="D313" i="6" s="1"/>
  <c r="D218" i="7"/>
  <c r="D219" i="5"/>
  <c r="D220" i="6"/>
  <c r="D351" i="7"/>
  <c r="D337" i="6"/>
  <c r="D202" i="7"/>
  <c r="D204" i="6"/>
  <c r="D486" i="6"/>
  <c r="D4" i="11"/>
  <c r="G22" i="11" s="1"/>
  <c r="G24" i="11" s="1"/>
  <c r="D204" i="4"/>
  <c r="D336" i="5"/>
  <c r="D619" i="4"/>
  <c r="D470" i="6"/>
  <c r="D603" i="6"/>
  <c r="D203" i="5"/>
  <c r="D470" i="4"/>
  <c r="D220" i="4"/>
  <c r="D352" i="5"/>
  <c r="D619" i="6"/>
  <c r="D353" i="6"/>
  <c r="D335" i="7"/>
  <c r="D337" i="4"/>
  <c r="D486" i="4"/>
  <c r="D353" i="4"/>
  <c r="D602" i="6"/>
  <c r="D220" i="7"/>
  <c r="D238" i="4"/>
  <c r="D137" i="6"/>
  <c r="D166" i="4"/>
  <c r="D221" i="5"/>
  <c r="D206" i="6"/>
  <c r="D150" i="4"/>
  <c r="D149" i="5"/>
  <c r="D137" i="4"/>
  <c r="D136" i="5"/>
  <c r="D205" i="5"/>
  <c r="D166" i="6"/>
  <c r="D238" i="6"/>
  <c r="D222" i="4"/>
  <c r="D237" i="5"/>
  <c r="D355" i="6"/>
  <c r="D150" i="6"/>
  <c r="D270" i="6"/>
  <c r="D206" i="4"/>
  <c r="D164" i="7"/>
  <c r="D236" i="7"/>
  <c r="D371" i="6"/>
  <c r="D165" i="5"/>
  <c r="D339" i="6"/>
  <c r="D432" i="4"/>
  <c r="D602" i="4"/>
  <c r="D45" i="4"/>
  <c r="C12" i="10"/>
  <c r="C107" i="10" s="1"/>
  <c r="L3" i="11"/>
  <c r="D48" i="11"/>
  <c r="I48" i="11" s="1"/>
  <c r="I50" i="11" s="1"/>
  <c r="Q20" i="3"/>
  <c r="R26" i="3"/>
  <c r="B48" i="11"/>
  <c r="G48" i="11" s="1"/>
  <c r="G50" i="11" s="1"/>
  <c r="C48" i="11"/>
  <c r="H48" i="11" s="1"/>
  <c r="D268" i="6"/>
  <c r="D164" i="4"/>
  <c r="D281" i="6"/>
  <c r="D336" i="4"/>
  <c r="D269" i="6"/>
  <c r="Q19" i="11"/>
  <c r="N75" i="10"/>
  <c r="N77" i="10" s="1"/>
  <c r="D597" i="6"/>
  <c r="D597" i="4"/>
  <c r="H104" i="4" s="1"/>
  <c r="H19" i="11"/>
  <c r="R19" i="11"/>
  <c r="I19" i="11"/>
  <c r="G19" i="11"/>
  <c r="D180" i="4"/>
  <c r="D549" i="6"/>
  <c r="D446" i="6"/>
  <c r="D311" i="7"/>
  <c r="D312" i="5"/>
  <c r="D446" i="4"/>
  <c r="D254" i="4"/>
  <c r="D256" i="6"/>
  <c r="G93" i="6" s="1"/>
  <c r="D281" i="4"/>
  <c r="D42" i="10"/>
  <c r="O45" i="10"/>
  <c r="D621" i="4"/>
  <c r="D605" i="6"/>
  <c r="D178" i="7"/>
  <c r="D565" i="6"/>
  <c r="D269" i="4"/>
  <c r="D268" i="4"/>
  <c r="H95" i="10"/>
  <c r="D180" i="6"/>
  <c r="R87" i="10"/>
  <c r="D256" i="4"/>
  <c r="G93" i="4" s="1"/>
  <c r="D32" i="10"/>
  <c r="D536" i="4"/>
  <c r="D267" i="4"/>
  <c r="D44" i="10"/>
  <c r="C45" i="10"/>
  <c r="D203" i="6"/>
  <c r="D637" i="4"/>
  <c r="Q68" i="3"/>
  <c r="C29" i="3" s="1"/>
  <c r="B3" i="10"/>
  <c r="G3" i="10" s="1"/>
  <c r="D45" i="10"/>
  <c r="M42" i="10"/>
  <c r="B42" i="10"/>
  <c r="G15" i="10"/>
  <c r="G45" i="10" s="1"/>
  <c r="I15" i="10"/>
  <c r="I28" i="10" s="1"/>
  <c r="I30" i="10" s="1"/>
  <c r="D20" i="10"/>
  <c r="X28" i="3" s="1"/>
  <c r="M20" i="10"/>
  <c r="R20" i="10" s="1"/>
  <c r="T12" i="10"/>
  <c r="T107" i="10" s="1"/>
  <c r="S106" i="10"/>
  <c r="H12" i="10"/>
  <c r="H107" i="10" s="1"/>
  <c r="R20" i="3"/>
  <c r="D297" i="4"/>
  <c r="O32" i="10"/>
  <c r="H15" i="10"/>
  <c r="H27" i="10" s="1"/>
  <c r="C42" i="10"/>
  <c r="D163" i="5"/>
  <c r="B20" i="10"/>
  <c r="O44" i="10"/>
  <c r="T15" i="10"/>
  <c r="T27" i="10" s="1"/>
  <c r="D296" i="5"/>
  <c r="C44" i="10"/>
  <c r="C32" i="10"/>
  <c r="C75" i="10"/>
  <c r="C79" i="10" s="1"/>
  <c r="O42" i="10"/>
  <c r="O20" i="10"/>
  <c r="T20" i="10" s="1"/>
  <c r="M41" i="10"/>
  <c r="O41" i="10"/>
  <c r="R3" i="10"/>
  <c r="N41" i="10"/>
  <c r="D58" i="7"/>
  <c r="D60" i="6"/>
  <c r="N42" i="10"/>
  <c r="N32" i="10"/>
  <c r="D563" i="4"/>
  <c r="M32" i="10"/>
  <c r="S15" i="10"/>
  <c r="S44" i="10" s="1"/>
  <c r="N20" i="10"/>
  <c r="S20" i="10" s="1"/>
  <c r="N28" i="10"/>
  <c r="N30" i="10" s="1"/>
  <c r="E7" i="18"/>
  <c r="D335" i="5"/>
  <c r="M27" i="10"/>
  <c r="B27" i="10"/>
  <c r="D430" i="6"/>
  <c r="C20" i="10"/>
  <c r="H20" i="10" s="1"/>
  <c r="C27" i="10"/>
  <c r="D164" i="6"/>
  <c r="N27" i="10"/>
  <c r="D27" i="10"/>
  <c r="M45" i="10"/>
  <c r="O27" i="10"/>
  <c r="B11" i="11"/>
  <c r="D59" i="5"/>
  <c r="B10" i="10"/>
  <c r="D336" i="6"/>
  <c r="B47" i="11"/>
  <c r="AC32" i="3"/>
  <c r="D430" i="4"/>
  <c r="R15" i="10"/>
  <c r="R28" i="10" s="1"/>
  <c r="D469" i="6"/>
  <c r="H47" i="11"/>
  <c r="N12" i="10"/>
  <c r="N107" i="10" s="1"/>
  <c r="D203" i="4"/>
  <c r="D202" i="5"/>
  <c r="D201" i="7"/>
  <c r="H106" i="10"/>
  <c r="I11" i="10"/>
  <c r="I106" i="10" s="1"/>
  <c r="B12" i="10"/>
  <c r="B107" i="10" s="1"/>
  <c r="G11" i="10"/>
  <c r="O26" i="3"/>
  <c r="L53" i="11" s="1"/>
  <c r="P20" i="3"/>
  <c r="G60" i="10" s="1"/>
  <c r="G12" i="10"/>
  <c r="G107" i="10" s="1"/>
  <c r="D12" i="10"/>
  <c r="D107" i="10" s="1"/>
  <c r="Q26" i="3"/>
  <c r="P26" i="3"/>
  <c r="B73" i="11"/>
  <c r="D334" i="7"/>
  <c r="G8" i="10"/>
  <c r="C43" i="10"/>
  <c r="B44" i="10"/>
  <c r="B11" i="10"/>
  <c r="D11" i="10"/>
  <c r="N44" i="10"/>
  <c r="M75" i="10"/>
  <c r="C30" i="10"/>
  <c r="D43" i="10"/>
  <c r="D30" i="10"/>
  <c r="D75" i="10"/>
  <c r="M44" i="10"/>
  <c r="O75" i="10"/>
  <c r="M43" i="10"/>
  <c r="B30" i="10"/>
  <c r="B43" i="10"/>
  <c r="C11" i="10"/>
  <c r="M30" i="10"/>
  <c r="G59" i="4"/>
  <c r="G58" i="5"/>
  <c r="G59" i="6"/>
  <c r="G57" i="7"/>
  <c r="D55" i="5"/>
  <c r="D56" i="6"/>
  <c r="B64" i="11"/>
  <c r="G64" i="11"/>
  <c r="R13" i="11"/>
  <c r="N13" i="11"/>
  <c r="L13" i="11"/>
  <c r="D54" i="7"/>
  <c r="Q64" i="11"/>
  <c r="C13" i="11"/>
  <c r="L64" i="11"/>
  <c r="D13" i="11"/>
  <c r="D56" i="4"/>
  <c r="S13" i="11"/>
  <c r="S30" i="11" s="1"/>
  <c r="Q13" i="11"/>
  <c r="Q29" i="11" s="1"/>
  <c r="M13" i="11"/>
  <c r="B13" i="11"/>
  <c r="C20" i="3"/>
  <c r="C22" i="3" s="1"/>
  <c r="M77" i="3" s="1"/>
  <c r="D43" i="7"/>
  <c r="D45" i="6"/>
  <c r="G104" i="6"/>
  <c r="X39" i="3"/>
  <c r="O30" i="10"/>
  <c r="S12" i="10"/>
  <c r="S107" i="10" s="1"/>
  <c r="O12" i="10"/>
  <c r="O107" i="10" s="1"/>
  <c r="O43" i="10"/>
  <c r="N43" i="10"/>
  <c r="M12" i="10"/>
  <c r="M107" i="10" s="1"/>
  <c r="I12" i="10"/>
  <c r="I107" i="10" s="1"/>
  <c r="G73" i="11"/>
  <c r="G43" i="10" l="1"/>
  <c r="N82" i="10"/>
  <c r="G44" i="10"/>
  <c r="B80" i="10"/>
  <c r="B76" i="10"/>
  <c r="N76" i="10"/>
  <c r="N78" i="10" s="1"/>
  <c r="B77" i="10"/>
  <c r="F41" i="3"/>
  <c r="D76" i="5" s="1"/>
  <c r="B53" i="11"/>
  <c r="D224" i="6" s="1"/>
  <c r="B60" i="10"/>
  <c r="D124" i="4" s="1"/>
  <c r="D125" i="4" s="1"/>
  <c r="G27" i="10"/>
  <c r="G75" i="10"/>
  <c r="G76" i="10" s="1"/>
  <c r="B22" i="11"/>
  <c r="B24" i="11" s="1"/>
  <c r="C22" i="11"/>
  <c r="C24" i="11" s="1"/>
  <c r="H22" i="11"/>
  <c r="H24" i="11" s="1"/>
  <c r="B27" i="11"/>
  <c r="B82" i="10"/>
  <c r="D313" i="4"/>
  <c r="D146" i="4"/>
  <c r="I20" i="10"/>
  <c r="I13" i="10" s="1"/>
  <c r="I108" i="10" s="1"/>
  <c r="N80" i="10"/>
  <c r="N79" i="10"/>
  <c r="D399" i="4"/>
  <c r="D133" i="6"/>
  <c r="C27" i="11"/>
  <c r="D22" i="11"/>
  <c r="D205" i="6" s="1"/>
  <c r="D27" i="11"/>
  <c r="I22" i="11"/>
  <c r="I24" i="11" s="1"/>
  <c r="D340" i="4" s="1"/>
  <c r="C30" i="3"/>
  <c r="Q27" i="3" s="1"/>
  <c r="D147" i="4"/>
  <c r="I43" i="10"/>
  <c r="I44" i="10"/>
  <c r="D279" i="4" s="1"/>
  <c r="I32" i="10"/>
  <c r="I42" i="10"/>
  <c r="I45" i="10"/>
  <c r="I75" i="10"/>
  <c r="I79" i="10" s="1"/>
  <c r="I27" i="10"/>
  <c r="G32" i="10"/>
  <c r="C13" i="10"/>
  <c r="C108" i="10" s="1"/>
  <c r="I41" i="10"/>
  <c r="D144" i="6"/>
  <c r="D205" i="4"/>
  <c r="S27" i="11"/>
  <c r="Q27" i="11"/>
  <c r="M22" i="11"/>
  <c r="M24" i="11" s="1"/>
  <c r="Q22" i="11"/>
  <c r="Q24" i="11" s="1"/>
  <c r="L27" i="11"/>
  <c r="S22" i="11"/>
  <c r="N27" i="11"/>
  <c r="L22" i="11"/>
  <c r="L24" i="11" s="1"/>
  <c r="R27" i="11"/>
  <c r="N22" i="11"/>
  <c r="N24" i="11" s="1"/>
  <c r="R22" i="11"/>
  <c r="R24" i="11" s="1"/>
  <c r="M27" i="11"/>
  <c r="D50" i="11"/>
  <c r="B50" i="11"/>
  <c r="C82" i="10"/>
  <c r="H50" i="11"/>
  <c r="C41" i="10"/>
  <c r="C48" i="10" s="1"/>
  <c r="C50" i="11"/>
  <c r="O48" i="10"/>
  <c r="C77" i="10"/>
  <c r="C76" i="10"/>
  <c r="T75" i="10"/>
  <c r="T79" i="10" s="1"/>
  <c r="T41" i="10"/>
  <c r="D13" i="10"/>
  <c r="D108" i="10" s="1"/>
  <c r="T44" i="10"/>
  <c r="D545" i="4" s="1"/>
  <c r="D131" i="7"/>
  <c r="T43" i="10"/>
  <c r="D133" i="4"/>
  <c r="D132" i="5"/>
  <c r="D331" i="6"/>
  <c r="H93" i="6" s="1"/>
  <c r="D331" i="4"/>
  <c r="H93" i="4" s="1"/>
  <c r="D579" i="4"/>
  <c r="D579" i="6"/>
  <c r="B41" i="10"/>
  <c r="B48" i="10" s="1"/>
  <c r="B50" i="10" s="1"/>
  <c r="D143" i="5"/>
  <c r="D142" i="7"/>
  <c r="D144" i="4"/>
  <c r="R27" i="3"/>
  <c r="P29" i="3"/>
  <c r="P28" i="3"/>
  <c r="R28" i="3"/>
  <c r="R29" i="3"/>
  <c r="P21" i="3"/>
  <c r="R22" i="3"/>
  <c r="P23" i="3"/>
  <c r="R21" i="3"/>
  <c r="P22" i="3"/>
  <c r="R23" i="3"/>
  <c r="D41" i="10"/>
  <c r="D141" i="7" s="1"/>
  <c r="C80" i="10"/>
  <c r="D145" i="7"/>
  <c r="D146" i="5"/>
  <c r="D265" i="5"/>
  <c r="D147" i="6"/>
  <c r="G28" i="10"/>
  <c r="G30" i="10" s="1"/>
  <c r="G41" i="10"/>
  <c r="G42" i="10"/>
  <c r="G77" i="10"/>
  <c r="G78" i="10" s="1"/>
  <c r="S27" i="10"/>
  <c r="G20" i="10"/>
  <c r="G13" i="10" s="1"/>
  <c r="V28" i="3"/>
  <c r="H28" i="10"/>
  <c r="H30" i="10" s="1"/>
  <c r="D264" i="6" s="1"/>
  <c r="H32" i="10"/>
  <c r="D266" i="6" s="1"/>
  <c r="H42" i="10"/>
  <c r="H45" i="10"/>
  <c r="H43" i="10"/>
  <c r="H41" i="10"/>
  <c r="B13" i="10"/>
  <c r="M108" i="10" s="1"/>
  <c r="H44" i="10"/>
  <c r="D264" i="7"/>
  <c r="D399" i="6"/>
  <c r="D276" i="5"/>
  <c r="D275" i="7"/>
  <c r="D410" i="6"/>
  <c r="D410" i="4"/>
  <c r="G79" i="10"/>
  <c r="S43" i="10"/>
  <c r="R75" i="10"/>
  <c r="R76" i="10" s="1"/>
  <c r="R44" i="10"/>
  <c r="N48" i="10"/>
  <c r="N50" i="10" s="1"/>
  <c r="B78" i="10"/>
  <c r="G80" i="10"/>
  <c r="H75" i="10"/>
  <c r="H82" i="10" s="1"/>
  <c r="W28" i="3"/>
  <c r="AA28" i="3" s="1"/>
  <c r="AC26" i="3" s="1"/>
  <c r="T28" i="10"/>
  <c r="T30" i="10" s="1"/>
  <c r="T45" i="10"/>
  <c r="T42" i="10"/>
  <c r="T32" i="10"/>
  <c r="D409" i="4"/>
  <c r="D409" i="6"/>
  <c r="D274" i="7"/>
  <c r="D275" i="5"/>
  <c r="D266" i="4"/>
  <c r="S28" i="10"/>
  <c r="S30" i="10" s="1"/>
  <c r="S75" i="10"/>
  <c r="S42" i="10"/>
  <c r="S45" i="10"/>
  <c r="S32" i="10"/>
  <c r="S41" i="10"/>
  <c r="D146" i="6"/>
  <c r="R43" i="10"/>
  <c r="R27" i="10"/>
  <c r="D278" i="7"/>
  <c r="D279" i="5"/>
  <c r="D413" i="6"/>
  <c r="D413" i="4"/>
  <c r="C29" i="10"/>
  <c r="C31" i="10"/>
  <c r="I31" i="10"/>
  <c r="I29" i="10"/>
  <c r="D126" i="7"/>
  <c r="D128" i="4"/>
  <c r="D127" i="5"/>
  <c r="D128" i="6"/>
  <c r="D144" i="7"/>
  <c r="D261" i="6"/>
  <c r="D261" i="4"/>
  <c r="D260" i="5"/>
  <c r="D394" i="6"/>
  <c r="D394" i="4"/>
  <c r="D259" i="7"/>
  <c r="D145" i="5"/>
  <c r="O29" i="10"/>
  <c r="O31" i="10"/>
  <c r="D31" i="10"/>
  <c r="D29" i="10"/>
  <c r="N29" i="10"/>
  <c r="N31" i="10"/>
  <c r="B31" i="10"/>
  <c r="D128" i="5"/>
  <c r="B29" i="10"/>
  <c r="D127" i="7"/>
  <c r="D129" i="6"/>
  <c r="D129" i="4"/>
  <c r="D395" i="6"/>
  <c r="D260" i="7"/>
  <c r="M29" i="10"/>
  <c r="D395" i="4"/>
  <c r="D261" i="5"/>
  <c r="M31" i="10"/>
  <c r="D131" i="4"/>
  <c r="D145" i="6"/>
  <c r="M48" i="10"/>
  <c r="M50" i="10" s="1"/>
  <c r="R32" i="10"/>
  <c r="R42" i="10"/>
  <c r="R41" i="10"/>
  <c r="R45" i="10"/>
  <c r="D130" i="5"/>
  <c r="D131" i="6"/>
  <c r="D222" i="7"/>
  <c r="D129" i="7"/>
  <c r="S29" i="11"/>
  <c r="C77" i="6"/>
  <c r="D277" i="5"/>
  <c r="D330" i="7"/>
  <c r="D331" i="7" s="1"/>
  <c r="D331" i="5"/>
  <c r="D332" i="5" s="1"/>
  <c r="D490" i="6"/>
  <c r="D474" i="6"/>
  <c r="D264" i="4"/>
  <c r="C76" i="5"/>
  <c r="D263" i="5"/>
  <c r="R106" i="10"/>
  <c r="G106" i="10"/>
  <c r="D198" i="5"/>
  <c r="D199" i="5" s="1"/>
  <c r="R60" i="10"/>
  <c r="J53" i="3"/>
  <c r="H53" i="3"/>
  <c r="D53" i="3"/>
  <c r="M60" i="10"/>
  <c r="F53" i="3"/>
  <c r="C75" i="7"/>
  <c r="D397" i="4"/>
  <c r="Q53" i="11"/>
  <c r="D598" i="4" s="1"/>
  <c r="D599" i="4" s="1"/>
  <c r="G53" i="11"/>
  <c r="H41" i="3"/>
  <c r="J41" i="3"/>
  <c r="B65" i="10"/>
  <c r="B67" i="10" s="1"/>
  <c r="D356" i="5"/>
  <c r="D340" i="5"/>
  <c r="D339" i="7"/>
  <c r="D355" i="7"/>
  <c r="L58" i="11"/>
  <c r="L60" i="11" s="1"/>
  <c r="D465" i="4"/>
  <c r="D466" i="4" s="1"/>
  <c r="M58" i="11"/>
  <c r="M60" i="11" s="1"/>
  <c r="N58" i="11"/>
  <c r="N60" i="11" s="1"/>
  <c r="D490" i="4"/>
  <c r="D465" i="6"/>
  <c r="D466" i="6" s="1"/>
  <c r="D474" i="4"/>
  <c r="H13" i="10"/>
  <c r="M76" i="10"/>
  <c r="M82" i="10"/>
  <c r="M77" i="10"/>
  <c r="M79" i="10"/>
  <c r="M80" i="10"/>
  <c r="C106" i="10"/>
  <c r="N106" i="10"/>
  <c r="D82" i="10"/>
  <c r="D176" i="5" s="1"/>
  <c r="D80" i="10"/>
  <c r="D79" i="10"/>
  <c r="D77" i="10"/>
  <c r="D173" i="4" s="1"/>
  <c r="D76" i="10"/>
  <c r="D143" i="7"/>
  <c r="D412" i="4"/>
  <c r="D412" i="6"/>
  <c r="D277" i="7"/>
  <c r="D278" i="5"/>
  <c r="O106" i="10"/>
  <c r="D106" i="10"/>
  <c r="O77" i="10"/>
  <c r="O79" i="10"/>
  <c r="O76" i="10"/>
  <c r="D303" i="7" s="1"/>
  <c r="O82" i="10"/>
  <c r="D309" i="5" s="1"/>
  <c r="O80" i="10"/>
  <c r="D442" i="4" s="1"/>
  <c r="B106" i="10"/>
  <c r="M106" i="10"/>
  <c r="D145" i="4"/>
  <c r="D144" i="5"/>
  <c r="P86" i="3"/>
  <c r="Q86" i="3" s="1"/>
  <c r="S88" i="3"/>
  <c r="P87" i="3"/>
  <c r="Q87" i="3" s="1"/>
  <c r="P80" i="3"/>
  <c r="Q80" i="3" s="1"/>
  <c r="S76" i="3"/>
  <c r="P92" i="3"/>
  <c r="Q92" i="3" s="1"/>
  <c r="S80" i="3"/>
  <c r="P75" i="3"/>
  <c r="Q75" i="3" s="1"/>
  <c r="P79" i="3"/>
  <c r="Q79" i="3" s="1"/>
  <c r="R28" i="11"/>
  <c r="Q8" i="3"/>
  <c r="D56" i="5"/>
  <c r="D55" i="7"/>
  <c r="D57" i="4"/>
  <c r="Q28" i="11"/>
  <c r="Q30" i="11"/>
  <c r="D502" i="6"/>
  <c r="D367" i="7"/>
  <c r="D368" i="5"/>
  <c r="D502" i="4"/>
  <c r="D369" i="4"/>
  <c r="D369" i="6"/>
  <c r="M29" i="11"/>
  <c r="M30" i="11"/>
  <c r="M28" i="11"/>
  <c r="D28" i="11"/>
  <c r="D30" i="11"/>
  <c r="D29" i="11"/>
  <c r="I13" i="11"/>
  <c r="I27" i="11" s="1"/>
  <c r="D68" i="11"/>
  <c r="D75" i="11" s="1"/>
  <c r="R29" i="11"/>
  <c r="B28" i="11"/>
  <c r="G13" i="11"/>
  <c r="G27" i="11" s="1"/>
  <c r="B30" i="11"/>
  <c r="B68" i="11"/>
  <c r="B29" i="11"/>
  <c r="S28" i="11"/>
  <c r="H13" i="11"/>
  <c r="H27" i="11" s="1"/>
  <c r="C30" i="11"/>
  <c r="C29" i="11"/>
  <c r="C28" i="11"/>
  <c r="C68" i="11"/>
  <c r="C70" i="11" s="1"/>
  <c r="L30" i="11"/>
  <c r="L28" i="11"/>
  <c r="L29" i="11"/>
  <c r="D235" i="5"/>
  <c r="D236" i="6"/>
  <c r="D236" i="4"/>
  <c r="D234" i="7"/>
  <c r="R30" i="11"/>
  <c r="D615" i="4" s="1"/>
  <c r="D57" i="6"/>
  <c r="D635" i="4"/>
  <c r="D635" i="6"/>
  <c r="N28" i="11"/>
  <c r="N29" i="11"/>
  <c r="N30" i="11"/>
  <c r="T83" i="3"/>
  <c r="O22" i="3"/>
  <c r="O23" i="3"/>
  <c r="G69" i="4"/>
  <c r="Q22" i="3"/>
  <c r="Q21" i="3"/>
  <c r="G68" i="5"/>
  <c r="O21" i="3"/>
  <c r="G69" i="6"/>
  <c r="G67" i="7"/>
  <c r="Q23" i="3"/>
  <c r="O28" i="3"/>
  <c r="G69" i="5"/>
  <c r="Q29" i="3"/>
  <c r="G70" i="6"/>
  <c r="O29" i="3"/>
  <c r="G68" i="7"/>
  <c r="G70" i="4"/>
  <c r="Q28" i="3"/>
  <c r="D411" i="4"/>
  <c r="D262" i="7"/>
  <c r="D397" i="6"/>
  <c r="D411" i="6"/>
  <c r="D276" i="7"/>
  <c r="D285" i="6"/>
  <c r="H65" i="10"/>
  <c r="D285" i="4"/>
  <c r="D257" i="6"/>
  <c r="D258" i="6" s="1"/>
  <c r="D272" i="4"/>
  <c r="G65" i="10"/>
  <c r="G67" i="10" s="1"/>
  <c r="D272" i="6"/>
  <c r="D257" i="4"/>
  <c r="D258" i="4" s="1"/>
  <c r="D224" i="4" l="1"/>
  <c r="D122" i="7"/>
  <c r="D123" i="7" s="1"/>
  <c r="D206" i="7"/>
  <c r="D223" i="5"/>
  <c r="D197" i="7"/>
  <c r="D198" i="7" s="1"/>
  <c r="D77" i="6"/>
  <c r="D75" i="7"/>
  <c r="O27" i="3"/>
  <c r="M68" i="10" s="1"/>
  <c r="P27" i="3"/>
  <c r="R68" i="10" s="1"/>
  <c r="B86" i="10"/>
  <c r="B88" i="10" s="1"/>
  <c r="D208" i="6"/>
  <c r="D199" i="6"/>
  <c r="D200" i="6" s="1"/>
  <c r="D58" i="11"/>
  <c r="D60" i="11" s="1"/>
  <c r="D207" i="5"/>
  <c r="D199" i="4"/>
  <c r="D200" i="4" s="1"/>
  <c r="D77" i="4"/>
  <c r="C58" i="11"/>
  <c r="C60" i="11" s="1"/>
  <c r="D208" i="4"/>
  <c r="B58" i="11"/>
  <c r="B60" i="11" s="1"/>
  <c r="G82" i="10"/>
  <c r="G86" i="10" s="1"/>
  <c r="G88" i="10" s="1"/>
  <c r="D139" i="6"/>
  <c r="D150" i="7"/>
  <c r="D24" i="11"/>
  <c r="D152" i="4"/>
  <c r="D124" i="6"/>
  <c r="D125" i="6" s="1"/>
  <c r="C65" i="10"/>
  <c r="C67" i="10" s="1"/>
  <c r="I65" i="10"/>
  <c r="I67" i="10" s="1"/>
  <c r="D139" i="4"/>
  <c r="D151" i="5"/>
  <c r="D65" i="10"/>
  <c r="D157" i="4" s="1"/>
  <c r="D137" i="7"/>
  <c r="D123" i="5"/>
  <c r="D124" i="5" s="1"/>
  <c r="D138" i="5"/>
  <c r="D280" i="6"/>
  <c r="D152" i="6"/>
  <c r="H29" i="10"/>
  <c r="H31" i="10"/>
  <c r="H39" i="10" s="1"/>
  <c r="D203" i="7"/>
  <c r="D204" i="5"/>
  <c r="O108" i="10"/>
  <c r="D276" i="6"/>
  <c r="D338" i="6"/>
  <c r="D338" i="4"/>
  <c r="D340" i="6"/>
  <c r="D278" i="4"/>
  <c r="I76" i="10"/>
  <c r="D279" i="6"/>
  <c r="J46" i="3"/>
  <c r="H95" i="6" s="1"/>
  <c r="C78" i="10"/>
  <c r="C86" i="10" s="1"/>
  <c r="T31" i="10"/>
  <c r="D280" i="4"/>
  <c r="N108" i="10"/>
  <c r="T29" i="10"/>
  <c r="D262" i="4"/>
  <c r="D262" i="6"/>
  <c r="D278" i="6"/>
  <c r="D276" i="4"/>
  <c r="I82" i="10"/>
  <c r="D310" i="4" s="1"/>
  <c r="I80" i="10"/>
  <c r="I77" i="10"/>
  <c r="D306" i="4" s="1"/>
  <c r="D277" i="4"/>
  <c r="D604" i="4"/>
  <c r="G91" i="10"/>
  <c r="D301" i="6" s="1"/>
  <c r="G48" i="10"/>
  <c r="G50" i="10" s="1"/>
  <c r="S31" i="10"/>
  <c r="D277" i="6"/>
  <c r="I48" i="10"/>
  <c r="I50" i="10" s="1"/>
  <c r="Q84" i="11"/>
  <c r="J55" i="3" s="1"/>
  <c r="H86" i="4" s="1"/>
  <c r="D415" i="4"/>
  <c r="D417" i="4" s="1"/>
  <c r="T76" i="10"/>
  <c r="D544" i="6"/>
  <c r="D415" i="6"/>
  <c r="S24" i="11"/>
  <c r="D606" i="6" s="1"/>
  <c r="D604" i="6"/>
  <c r="D339" i="5"/>
  <c r="D341" i="5" s="1"/>
  <c r="F58" i="3"/>
  <c r="D106" i="4" s="1"/>
  <c r="J58" i="3"/>
  <c r="H106" i="4" s="1"/>
  <c r="D471" i="6"/>
  <c r="D337" i="5"/>
  <c r="D471" i="4"/>
  <c r="D473" i="6"/>
  <c r="D475" i="6" s="1"/>
  <c r="D280" i="7"/>
  <c r="O50" i="10"/>
  <c r="D417" i="6" s="1"/>
  <c r="D473" i="4"/>
  <c r="D475" i="4" s="1"/>
  <c r="D338" i="7"/>
  <c r="D340" i="7" s="1"/>
  <c r="D336" i="7"/>
  <c r="D281" i="5"/>
  <c r="D544" i="4"/>
  <c r="H77" i="10"/>
  <c r="D545" i="6"/>
  <c r="R80" i="10"/>
  <c r="T77" i="10"/>
  <c r="T82" i="10"/>
  <c r="G29" i="10"/>
  <c r="R82" i="10"/>
  <c r="T80" i="10"/>
  <c r="G31" i="10"/>
  <c r="R77" i="10"/>
  <c r="R78" i="10" s="1"/>
  <c r="R91" i="10"/>
  <c r="H55" i="3" s="1"/>
  <c r="G84" i="11"/>
  <c r="D373" i="6" s="1"/>
  <c r="D613" i="4"/>
  <c r="B108" i="10"/>
  <c r="D48" i="10"/>
  <c r="D148" i="5" s="1"/>
  <c r="D438" i="6"/>
  <c r="D177" i="6"/>
  <c r="G61" i="11"/>
  <c r="G68" i="10"/>
  <c r="G69" i="10" s="1"/>
  <c r="B91" i="10"/>
  <c r="D180" i="7" s="1"/>
  <c r="M91" i="10"/>
  <c r="D314" i="5" s="1"/>
  <c r="D143" i="4"/>
  <c r="D143" i="6"/>
  <c r="D142" i="5"/>
  <c r="T48" i="10"/>
  <c r="T50" i="10" s="1"/>
  <c r="D443" i="4"/>
  <c r="D308" i="7"/>
  <c r="C39" i="10"/>
  <c r="C72" i="10" s="1"/>
  <c r="C74" i="10" s="1"/>
  <c r="H48" i="10"/>
  <c r="S48" i="10"/>
  <c r="S50" i="10" s="1"/>
  <c r="H79" i="10"/>
  <c r="D308" i="4" s="1"/>
  <c r="D438" i="4"/>
  <c r="H76" i="10"/>
  <c r="D305" i="6" s="1"/>
  <c r="D304" i="5"/>
  <c r="R79" i="10"/>
  <c r="D177" i="4"/>
  <c r="H80" i="10"/>
  <c r="D443" i="6"/>
  <c r="D175" i="7"/>
  <c r="D39" i="10"/>
  <c r="S29" i="10"/>
  <c r="S76" i="10"/>
  <c r="S79" i="10"/>
  <c r="D574" i="4" s="1"/>
  <c r="S80" i="10"/>
  <c r="S82" i="10"/>
  <c r="S77" i="10"/>
  <c r="O39" i="10"/>
  <c r="N39" i="10"/>
  <c r="N72" i="10" s="1"/>
  <c r="N74" i="10" s="1"/>
  <c r="D361" i="5"/>
  <c r="D607" i="4"/>
  <c r="D307" i="5"/>
  <c r="M78" i="10"/>
  <c r="M86" i="10" s="1"/>
  <c r="M88" i="10" s="1"/>
  <c r="D546" i="4"/>
  <c r="D546" i="6"/>
  <c r="D532" i="4"/>
  <c r="D532" i="6"/>
  <c r="D396" i="4"/>
  <c r="D261" i="7"/>
  <c r="D262" i="5"/>
  <c r="D396" i="6"/>
  <c r="D132" i="6"/>
  <c r="D130" i="7"/>
  <c r="D132" i="4"/>
  <c r="D131" i="5"/>
  <c r="B39" i="10"/>
  <c r="B59" i="10" s="1"/>
  <c r="B61" i="10" s="1"/>
  <c r="B96" i="10" s="1"/>
  <c r="R48" i="10"/>
  <c r="R50" i="10" s="1"/>
  <c r="D542" i="6"/>
  <c r="D542" i="4"/>
  <c r="D263" i="7"/>
  <c r="D398" i="4"/>
  <c r="D398" i="6"/>
  <c r="D264" i="5"/>
  <c r="D527" i="6"/>
  <c r="D527" i="4"/>
  <c r="D543" i="6"/>
  <c r="D543" i="4"/>
  <c r="D130" i="4"/>
  <c r="D128" i="7"/>
  <c r="D130" i="6"/>
  <c r="D129" i="5"/>
  <c r="D263" i="6"/>
  <c r="D263" i="4"/>
  <c r="I39" i="10"/>
  <c r="R31" i="10"/>
  <c r="D528" i="6"/>
  <c r="D528" i="4"/>
  <c r="R29" i="10"/>
  <c r="R30" i="10"/>
  <c r="D265" i="4"/>
  <c r="D265" i="6"/>
  <c r="M39" i="10"/>
  <c r="O78" i="10"/>
  <c r="O86" i="10" s="1"/>
  <c r="O88" i="10" s="1"/>
  <c r="D307" i="7"/>
  <c r="D441" i="4"/>
  <c r="D171" i="7"/>
  <c r="D174" i="5"/>
  <c r="D175" i="6"/>
  <c r="D175" i="4"/>
  <c r="D173" i="7"/>
  <c r="D308" i="5"/>
  <c r="D306" i="7"/>
  <c r="D172" i="5"/>
  <c r="D439" i="4"/>
  <c r="D439" i="6"/>
  <c r="D305" i="5"/>
  <c r="D304" i="7"/>
  <c r="D174" i="7"/>
  <c r="D175" i="5"/>
  <c r="D176" i="4"/>
  <c r="D176" i="6"/>
  <c r="D442" i="6"/>
  <c r="D441" i="6"/>
  <c r="D173" i="6"/>
  <c r="D78" i="10"/>
  <c r="D173" i="5" s="1"/>
  <c r="D172" i="4"/>
  <c r="D171" i="5"/>
  <c r="D172" i="6"/>
  <c r="D170" i="7"/>
  <c r="D207" i="4"/>
  <c r="F46" i="3"/>
  <c r="D205" i="7"/>
  <c r="D207" i="7" s="1"/>
  <c r="D207" i="6"/>
  <c r="D206" i="5"/>
  <c r="D495" i="6"/>
  <c r="D360" i="7"/>
  <c r="D623" i="4"/>
  <c r="D495" i="4"/>
  <c r="L84" i="11"/>
  <c r="F55" i="3" s="1"/>
  <c r="D86" i="6" s="1"/>
  <c r="B84" i="11"/>
  <c r="D238" i="7" s="1"/>
  <c r="D83" i="5"/>
  <c r="D84" i="6"/>
  <c r="D84" i="4"/>
  <c r="D82" i="7"/>
  <c r="D523" i="4"/>
  <c r="D524" i="4" s="1"/>
  <c r="T65" i="10"/>
  <c r="T67" i="10" s="1"/>
  <c r="D551" i="4"/>
  <c r="D523" i="6"/>
  <c r="D524" i="6" s="1"/>
  <c r="S65" i="10"/>
  <c r="D538" i="6"/>
  <c r="R65" i="10"/>
  <c r="R67" i="10" s="1"/>
  <c r="D551" i="6"/>
  <c r="D538" i="4"/>
  <c r="D623" i="6"/>
  <c r="D607" i="6"/>
  <c r="H77" i="6"/>
  <c r="H77" i="4"/>
  <c r="M65" i="10"/>
  <c r="M67" i="10" s="1"/>
  <c r="N65" i="10"/>
  <c r="D390" i="6"/>
  <c r="D391" i="6" s="1"/>
  <c r="D405" i="4"/>
  <c r="D271" i="5"/>
  <c r="D255" i="7"/>
  <c r="D256" i="7" s="1"/>
  <c r="D283" i="7"/>
  <c r="D390" i="4"/>
  <c r="D391" i="4" s="1"/>
  <c r="D405" i="6"/>
  <c r="D270" i="7"/>
  <c r="D284" i="5"/>
  <c r="D256" i="5"/>
  <c r="D257" i="5" s="1"/>
  <c r="D418" i="4"/>
  <c r="D418" i="6"/>
  <c r="O65" i="10"/>
  <c r="O67" i="10" s="1"/>
  <c r="G77" i="4"/>
  <c r="G77" i="6"/>
  <c r="C83" i="5"/>
  <c r="C84" i="6"/>
  <c r="C84" i="4"/>
  <c r="C82" i="7"/>
  <c r="G84" i="6"/>
  <c r="G84" i="4"/>
  <c r="D598" i="6"/>
  <c r="D599" i="6" s="1"/>
  <c r="R58" i="11"/>
  <c r="Q58" i="11"/>
  <c r="Q60" i="11" s="1"/>
  <c r="S58" i="11"/>
  <c r="S60" i="11" s="1"/>
  <c r="D332" i="6"/>
  <c r="D333" i="6" s="1"/>
  <c r="D341" i="4"/>
  <c r="D342" i="4" s="1"/>
  <c r="H58" i="11"/>
  <c r="D357" i="6"/>
  <c r="D357" i="4"/>
  <c r="I58" i="11"/>
  <c r="I60" i="11" s="1"/>
  <c r="D332" i="4"/>
  <c r="D333" i="4" s="1"/>
  <c r="D341" i="6"/>
  <c r="G58" i="11"/>
  <c r="G60" i="11" s="1"/>
  <c r="H84" i="4"/>
  <c r="H84" i="6"/>
  <c r="C69" i="11"/>
  <c r="C71" i="11" s="1"/>
  <c r="C75" i="11"/>
  <c r="C72" i="11"/>
  <c r="Q34" i="11"/>
  <c r="Q65" i="11" s="1"/>
  <c r="Q67" i="11" s="1"/>
  <c r="Q83" i="11" s="1"/>
  <c r="D615" i="6"/>
  <c r="S34" i="11"/>
  <c r="G108" i="10"/>
  <c r="R108" i="10"/>
  <c r="H108" i="10"/>
  <c r="T108" i="10"/>
  <c r="S108" i="10"/>
  <c r="C50" i="10"/>
  <c r="N86" i="10"/>
  <c r="H67" i="10"/>
  <c r="H47" i="3" s="1"/>
  <c r="D215" i="5"/>
  <c r="D216" i="6"/>
  <c r="D214" i="7"/>
  <c r="D216" i="4"/>
  <c r="D34" i="11"/>
  <c r="D347" i="7"/>
  <c r="D482" i="4"/>
  <c r="D348" i="5"/>
  <c r="D482" i="6"/>
  <c r="D612" i="4"/>
  <c r="D612" i="6"/>
  <c r="T76" i="3"/>
  <c r="V76" i="3"/>
  <c r="V79" i="3" s="1"/>
  <c r="D212" i="4"/>
  <c r="D211" i="5"/>
  <c r="C34" i="11"/>
  <c r="D210" i="7"/>
  <c r="D212" i="6"/>
  <c r="N34" i="11"/>
  <c r="L34" i="11"/>
  <c r="D212" i="5"/>
  <c r="D213" i="4"/>
  <c r="D211" i="7"/>
  <c r="D213" i="6"/>
  <c r="H30" i="11"/>
  <c r="H28" i="11"/>
  <c r="H29" i="11"/>
  <c r="H68" i="11"/>
  <c r="B72" i="11"/>
  <c r="B70" i="11"/>
  <c r="B75" i="11"/>
  <c r="B69" i="11"/>
  <c r="D72" i="11"/>
  <c r="D70" i="11"/>
  <c r="D69" i="11"/>
  <c r="M34" i="11"/>
  <c r="D480" i="4"/>
  <c r="D480" i="6"/>
  <c r="D345" i="7"/>
  <c r="D346" i="5"/>
  <c r="G28" i="11"/>
  <c r="G29" i="11"/>
  <c r="G68" i="11"/>
  <c r="G69" i="11" s="1"/>
  <c r="G30" i="11"/>
  <c r="D478" i="6"/>
  <c r="D344" i="5"/>
  <c r="D343" i="7"/>
  <c r="D478" i="4"/>
  <c r="D611" i="6"/>
  <c r="D611" i="4"/>
  <c r="D213" i="5"/>
  <c r="D214" i="4"/>
  <c r="D214" i="6"/>
  <c r="D212" i="7"/>
  <c r="B34" i="11"/>
  <c r="R34" i="11"/>
  <c r="D613" i="6"/>
  <c r="I28" i="11"/>
  <c r="I30" i="11"/>
  <c r="I68" i="11"/>
  <c r="I29" i="11"/>
  <c r="D479" i="6"/>
  <c r="D479" i="4"/>
  <c r="D344" i="7"/>
  <c r="D345" i="5"/>
  <c r="B68" i="10"/>
  <c r="B61" i="11"/>
  <c r="L61" i="11"/>
  <c r="N62" i="11" s="1"/>
  <c r="D362" i="7"/>
  <c r="D497" i="6"/>
  <c r="F59" i="3"/>
  <c r="D363" i="5"/>
  <c r="D497" i="4"/>
  <c r="D209" i="6" l="1"/>
  <c r="D228" i="5"/>
  <c r="D229" i="4"/>
  <c r="D227" i="7"/>
  <c r="Q61" i="11"/>
  <c r="D229" i="6"/>
  <c r="D310" i="6"/>
  <c r="D157" i="6"/>
  <c r="D67" i="10"/>
  <c r="D157" i="7" s="1"/>
  <c r="D155" i="7"/>
  <c r="D156" i="5"/>
  <c r="D208" i="5"/>
  <c r="D209" i="4"/>
  <c r="D290" i="6"/>
  <c r="D290" i="4"/>
  <c r="D342" i="6"/>
  <c r="I78" i="10"/>
  <c r="I86" i="10" s="1"/>
  <c r="I88" i="10" s="1"/>
  <c r="D309" i="4"/>
  <c r="T78" i="10"/>
  <c r="T86" i="10" s="1"/>
  <c r="D306" i="6"/>
  <c r="H95" i="4"/>
  <c r="T39" i="10"/>
  <c r="T59" i="10" s="1"/>
  <c r="T61" i="10" s="1"/>
  <c r="T96" i="10" s="1"/>
  <c r="S39" i="10"/>
  <c r="S59" i="10" s="1"/>
  <c r="S61" i="10" s="1"/>
  <c r="S96" i="10" s="1"/>
  <c r="D308" i="6"/>
  <c r="D305" i="4"/>
  <c r="D309" i="6"/>
  <c r="D301" i="4"/>
  <c r="H43" i="3"/>
  <c r="G79" i="4" s="1"/>
  <c r="D419" i="4"/>
  <c r="D315" i="4"/>
  <c r="D315" i="6"/>
  <c r="D571" i="6"/>
  <c r="I72" i="10"/>
  <c r="I74" i="10" s="1"/>
  <c r="D305" i="7"/>
  <c r="D282" i="6"/>
  <c r="D608" i="6"/>
  <c r="H86" i="6"/>
  <c r="Q85" i="11"/>
  <c r="D440" i="4"/>
  <c r="D440" i="6"/>
  <c r="D306" i="5"/>
  <c r="D606" i="4"/>
  <c r="D608" i="4" s="1"/>
  <c r="D574" i="6"/>
  <c r="D282" i="4"/>
  <c r="J43" i="3"/>
  <c r="H79" i="6" s="1"/>
  <c r="D575" i="6"/>
  <c r="G39" i="10"/>
  <c r="G72" i="10" s="1"/>
  <c r="G74" i="10" s="1"/>
  <c r="G90" i="10" s="1"/>
  <c r="G92" i="10" s="1"/>
  <c r="G97" i="10" s="1"/>
  <c r="D571" i="4"/>
  <c r="D576" i="4"/>
  <c r="D104" i="7"/>
  <c r="D105" i="5"/>
  <c r="D106" i="6"/>
  <c r="H106" i="6"/>
  <c r="T69" i="10"/>
  <c r="D282" i="7"/>
  <c r="D284" i="7" s="1"/>
  <c r="D283" i="5"/>
  <c r="D285" i="5" s="1"/>
  <c r="D57" i="3"/>
  <c r="C103" i="7" s="1"/>
  <c r="O59" i="10"/>
  <c r="O61" i="10" s="1"/>
  <c r="O96" i="10" s="1"/>
  <c r="R86" i="10"/>
  <c r="R88" i="10" s="1"/>
  <c r="D576" i="6"/>
  <c r="D572" i="4"/>
  <c r="D572" i="6"/>
  <c r="H78" i="10"/>
  <c r="H86" i="10" s="1"/>
  <c r="H88" i="10" s="1"/>
  <c r="D575" i="4"/>
  <c r="D448" i="4"/>
  <c r="D313" i="7"/>
  <c r="D55" i="3"/>
  <c r="C84" i="7" s="1"/>
  <c r="D581" i="4"/>
  <c r="D581" i="6"/>
  <c r="D72" i="10"/>
  <c r="D74" i="10" s="1"/>
  <c r="D373" i="4"/>
  <c r="D149" i="6"/>
  <c r="D149" i="4"/>
  <c r="D147" i="7"/>
  <c r="D50" i="10"/>
  <c r="D151" i="6" s="1"/>
  <c r="D153" i="6" s="1"/>
  <c r="R69" i="10"/>
  <c r="D86" i="4"/>
  <c r="D167" i="5"/>
  <c r="D182" i="6"/>
  <c r="H72" i="10"/>
  <c r="H74" i="10" s="1"/>
  <c r="H50" i="10"/>
  <c r="D168" i="6"/>
  <c r="D182" i="4"/>
  <c r="D181" i="5"/>
  <c r="D166" i="7"/>
  <c r="S62" i="11"/>
  <c r="I69" i="10"/>
  <c r="D168" i="4"/>
  <c r="D43" i="3"/>
  <c r="C79" i="6" s="1"/>
  <c r="D84" i="7"/>
  <c r="D448" i="6"/>
  <c r="I62" i="11"/>
  <c r="G62" i="11"/>
  <c r="D639" i="4"/>
  <c r="D631" i="4"/>
  <c r="D631" i="6"/>
  <c r="D639" i="6"/>
  <c r="J54" i="3"/>
  <c r="Q62" i="11"/>
  <c r="D567" i="6"/>
  <c r="D559" i="4"/>
  <c r="D567" i="4"/>
  <c r="H54" i="3"/>
  <c r="D559" i="6"/>
  <c r="G86" i="6"/>
  <c r="G86" i="4"/>
  <c r="D293" i="4"/>
  <c r="D293" i="6"/>
  <c r="H42" i="3"/>
  <c r="D365" i="4"/>
  <c r="D365" i="6"/>
  <c r="J42" i="3"/>
  <c r="D548" i="6"/>
  <c r="D548" i="4"/>
  <c r="D174" i="6"/>
  <c r="H46" i="3"/>
  <c r="G95" i="6" s="1"/>
  <c r="N59" i="10"/>
  <c r="N61" i="10" s="1"/>
  <c r="N96" i="10" s="1"/>
  <c r="I59" i="10"/>
  <c r="I61" i="10" s="1"/>
  <c r="I96" i="10" s="1"/>
  <c r="D271" i="6"/>
  <c r="D273" i="6" s="1"/>
  <c r="D174" i="4"/>
  <c r="D172" i="7"/>
  <c r="D86" i="10"/>
  <c r="D88" i="10" s="1"/>
  <c r="O72" i="10"/>
  <c r="O74" i="10" s="1"/>
  <c r="O90" i="10" s="1"/>
  <c r="O92" i="10" s="1"/>
  <c r="D271" i="4"/>
  <c r="D273" i="4" s="1"/>
  <c r="S78" i="10"/>
  <c r="S86" i="10" s="1"/>
  <c r="S88" i="10" s="1"/>
  <c r="D419" i="6"/>
  <c r="B72" i="10"/>
  <c r="D137" i="5"/>
  <c r="D139" i="5" s="1"/>
  <c r="D138" i="6"/>
  <c r="D140" i="6" s="1"/>
  <c r="D136" i="7"/>
  <c r="D138" i="7" s="1"/>
  <c r="D138" i="4"/>
  <c r="D140" i="4" s="1"/>
  <c r="D46" i="3"/>
  <c r="D404" i="4"/>
  <c r="D406" i="4" s="1"/>
  <c r="D270" i="5"/>
  <c r="D272" i="5" s="1"/>
  <c r="D58" i="3"/>
  <c r="M72" i="10"/>
  <c r="D269" i="7"/>
  <c r="D271" i="7" s="1"/>
  <c r="M59" i="10"/>
  <c r="M61" i="10" s="1"/>
  <c r="M96" i="10" s="1"/>
  <c r="D404" i="6"/>
  <c r="D406" i="6" s="1"/>
  <c r="R39" i="10"/>
  <c r="D530" i="4"/>
  <c r="D530" i="6"/>
  <c r="D531" i="4"/>
  <c r="D531" i="6"/>
  <c r="D529" i="4"/>
  <c r="D529" i="6"/>
  <c r="D85" i="5"/>
  <c r="F43" i="3"/>
  <c r="D77" i="7" s="1"/>
  <c r="D240" i="6"/>
  <c r="D239" i="5"/>
  <c r="D240" i="4"/>
  <c r="C79" i="11"/>
  <c r="C81" i="11" s="1"/>
  <c r="D94" i="5"/>
  <c r="D95" i="6"/>
  <c r="D93" i="7"/>
  <c r="D95" i="4"/>
  <c r="Q36" i="11"/>
  <c r="Q52" i="11" s="1"/>
  <c r="Q54" i="11" s="1"/>
  <c r="Q89" i="11" s="1"/>
  <c r="H57" i="3"/>
  <c r="D550" i="6"/>
  <c r="D552" i="6" s="1"/>
  <c r="D550" i="4"/>
  <c r="D552" i="4" s="1"/>
  <c r="R60" i="11"/>
  <c r="D628" i="6"/>
  <c r="D628" i="4"/>
  <c r="N67" i="10"/>
  <c r="N69" i="10" s="1"/>
  <c r="D423" i="4"/>
  <c r="D423" i="6"/>
  <c r="D288" i="7"/>
  <c r="D289" i="5"/>
  <c r="D556" i="6"/>
  <c r="S67" i="10"/>
  <c r="D556" i="4"/>
  <c r="H60" i="11"/>
  <c r="D362" i="6"/>
  <c r="D362" i="4"/>
  <c r="D229" i="7"/>
  <c r="D231" i="6"/>
  <c r="D230" i="5"/>
  <c r="D231" i="4"/>
  <c r="F47" i="3"/>
  <c r="G96" i="6"/>
  <c r="G96" i="4"/>
  <c r="S65" i="11"/>
  <c r="S67" i="11" s="1"/>
  <c r="S83" i="11" s="1"/>
  <c r="S85" i="11" s="1"/>
  <c r="S36" i="11"/>
  <c r="S52" i="11" s="1"/>
  <c r="S54" i="11" s="1"/>
  <c r="S89" i="11" s="1"/>
  <c r="H69" i="10"/>
  <c r="D292" i="4"/>
  <c r="D292" i="6"/>
  <c r="C59" i="10"/>
  <c r="C61" i="10" s="1"/>
  <c r="C96" i="10" s="1"/>
  <c r="C88" i="10"/>
  <c r="C90" i="10" s="1"/>
  <c r="C92" i="10" s="1"/>
  <c r="D445" i="4"/>
  <c r="D310" i="7"/>
  <c r="D445" i="6"/>
  <c r="D311" i="5"/>
  <c r="N88" i="10"/>
  <c r="D346" i="4"/>
  <c r="D346" i="6"/>
  <c r="R65" i="11"/>
  <c r="D620" i="6"/>
  <c r="R36" i="11"/>
  <c r="D620" i="4"/>
  <c r="D345" i="6"/>
  <c r="D345" i="4"/>
  <c r="N65" i="11"/>
  <c r="N67" i="11" s="1"/>
  <c r="N83" i="11" s="1"/>
  <c r="N85" i="11" s="1"/>
  <c r="N90" i="11" s="1"/>
  <c r="N36" i="11"/>
  <c r="N52" i="11" s="1"/>
  <c r="N54" i="11" s="1"/>
  <c r="N89" i="11" s="1"/>
  <c r="L65" i="11"/>
  <c r="L67" i="11" s="1"/>
  <c r="L83" i="11" s="1"/>
  <c r="L85" i="11" s="1"/>
  <c r="L36" i="11"/>
  <c r="L52" i="11" s="1"/>
  <c r="L54" i="11" s="1"/>
  <c r="L89" i="11" s="1"/>
  <c r="C65" i="11"/>
  <c r="D221" i="6"/>
  <c r="D220" i="5"/>
  <c r="D221" i="4"/>
  <c r="C36" i="11"/>
  <c r="I34" i="11"/>
  <c r="B65" i="11"/>
  <c r="B67" i="11" s="1"/>
  <c r="B83" i="11" s="1"/>
  <c r="B85" i="11" s="1"/>
  <c r="B36" i="11"/>
  <c r="B52" i="11" s="1"/>
  <c r="B54" i="11" s="1"/>
  <c r="B89" i="11" s="1"/>
  <c r="G75" i="11"/>
  <c r="G70" i="11"/>
  <c r="G71" i="11" s="1"/>
  <c r="M36" i="11"/>
  <c r="M65" i="11"/>
  <c r="D487" i="6"/>
  <c r="D487" i="4"/>
  <c r="D353" i="5"/>
  <c r="D352" i="7"/>
  <c r="B71" i="11"/>
  <c r="B79" i="11" s="1"/>
  <c r="B81" i="11" s="1"/>
  <c r="H72" i="11"/>
  <c r="H69" i="11"/>
  <c r="H75" i="11"/>
  <c r="H70" i="11"/>
  <c r="D349" i="4"/>
  <c r="D349" i="6"/>
  <c r="I69" i="11"/>
  <c r="I70" i="11"/>
  <c r="G34" i="11"/>
  <c r="D71" i="11"/>
  <c r="D79" i="11" s="1"/>
  <c r="D81" i="11" s="1"/>
  <c r="H34" i="11"/>
  <c r="D347" i="6"/>
  <c r="D347" i="4"/>
  <c r="AD30" i="3"/>
  <c r="AD28" i="3"/>
  <c r="AD29" i="3"/>
  <c r="D219" i="7"/>
  <c r="D36" i="11"/>
  <c r="D52" i="11" s="1"/>
  <c r="D54" i="11" s="1"/>
  <c r="D89" i="11" s="1"/>
  <c r="D65" i="11"/>
  <c r="D67" i="11" s="1"/>
  <c r="D83" i="11" s="1"/>
  <c r="D85" i="11" s="1"/>
  <c r="G72" i="11"/>
  <c r="M69" i="10"/>
  <c r="D426" i="4"/>
  <c r="D291" i="7"/>
  <c r="D300" i="5"/>
  <c r="D54" i="3"/>
  <c r="D299" i="7"/>
  <c r="D434" i="4"/>
  <c r="D292" i="5"/>
  <c r="D434" i="6"/>
  <c r="D426" i="6"/>
  <c r="O69" i="10"/>
  <c r="D159" i="5"/>
  <c r="D42" i="3"/>
  <c r="D160" i="4"/>
  <c r="D158" i="7"/>
  <c r="D160" i="6"/>
  <c r="B69" i="10"/>
  <c r="C69" i="10"/>
  <c r="F54" i="3"/>
  <c r="D506" i="4"/>
  <c r="D498" i="4"/>
  <c r="D499" i="4" s="1"/>
  <c r="D364" i="5"/>
  <c r="D365" i="5" s="1"/>
  <c r="D371" i="7"/>
  <c r="D372" i="5"/>
  <c r="D506" i="6"/>
  <c r="D363" i="7"/>
  <c r="D364" i="7" s="1"/>
  <c r="D498" i="6"/>
  <c r="D499" i="6" s="1"/>
  <c r="M62" i="11"/>
  <c r="L62" i="11"/>
  <c r="D230" i="7"/>
  <c r="B62" i="11"/>
  <c r="D232" i="6"/>
  <c r="C62" i="11"/>
  <c r="D232" i="4"/>
  <c r="D231" i="5"/>
  <c r="F42" i="3"/>
  <c r="D62" i="11"/>
  <c r="D107" i="4"/>
  <c r="D106" i="5"/>
  <c r="D107" i="6"/>
  <c r="D105" i="7"/>
  <c r="D47" i="3" l="1"/>
  <c r="C96" i="4" s="1"/>
  <c r="D159" i="7"/>
  <c r="D69" i="10"/>
  <c r="D158" i="5"/>
  <c r="D160" i="5" s="1"/>
  <c r="D159" i="4"/>
  <c r="D161" i="4" s="1"/>
  <c r="D159" i="6"/>
  <c r="D161" i="6" s="1"/>
  <c r="S72" i="10"/>
  <c r="S74" i="10" s="1"/>
  <c r="S90" i="10" s="1"/>
  <c r="S92" i="10" s="1"/>
  <c r="H58" i="3"/>
  <c r="G106" i="4" s="1"/>
  <c r="I90" i="10"/>
  <c r="I92" i="10" s="1"/>
  <c r="I97" i="10" s="1"/>
  <c r="I99" i="10" s="1"/>
  <c r="D314" i="4"/>
  <c r="D316" i="4" s="1"/>
  <c r="T72" i="10"/>
  <c r="T74" i="10" s="1"/>
  <c r="D314" i="6"/>
  <c r="D316" i="6" s="1"/>
  <c r="D307" i="4"/>
  <c r="G79" i="6"/>
  <c r="Q90" i="11"/>
  <c r="Q92" i="11" s="1"/>
  <c r="D179" i="6"/>
  <c r="H79" i="4"/>
  <c r="D573" i="6"/>
  <c r="D298" i="4"/>
  <c r="G59" i="10"/>
  <c r="G61" i="10" s="1"/>
  <c r="G96" i="10" s="1"/>
  <c r="G99" i="10" s="1"/>
  <c r="D312" i="6"/>
  <c r="D307" i="6"/>
  <c r="D312" i="4"/>
  <c r="H45" i="3"/>
  <c r="G94" i="4" s="1"/>
  <c r="D284" i="4"/>
  <c r="D286" i="4" s="1"/>
  <c r="D284" i="6"/>
  <c r="D286" i="6" s="1"/>
  <c r="D578" i="4"/>
  <c r="D453" i="6"/>
  <c r="D573" i="4"/>
  <c r="D298" i="6"/>
  <c r="D59" i="10"/>
  <c r="D61" i="10" s="1"/>
  <c r="D96" i="10" s="1"/>
  <c r="D187" i="4" s="1"/>
  <c r="T88" i="10"/>
  <c r="D580" i="6" s="1"/>
  <c r="D582" i="6" s="1"/>
  <c r="C105" i="6"/>
  <c r="D45" i="3"/>
  <c r="C92" i="7" s="1"/>
  <c r="C105" i="4"/>
  <c r="H59" i="10"/>
  <c r="H61" i="10" s="1"/>
  <c r="H96" i="10" s="1"/>
  <c r="D320" i="4" s="1"/>
  <c r="C104" i="5"/>
  <c r="C86" i="4"/>
  <c r="C86" i="6"/>
  <c r="D318" i="7"/>
  <c r="D578" i="6"/>
  <c r="D90" i="10"/>
  <c r="D92" i="10" s="1"/>
  <c r="D97" i="10" s="1"/>
  <c r="D179" i="4"/>
  <c r="C85" i="5"/>
  <c r="H90" i="10"/>
  <c r="H92" i="10" s="1"/>
  <c r="H97" i="10" s="1"/>
  <c r="D149" i="7"/>
  <c r="D151" i="7" s="1"/>
  <c r="D150" i="5"/>
  <c r="D152" i="5" s="1"/>
  <c r="S90" i="11"/>
  <c r="S92" i="11" s="1"/>
  <c r="C79" i="4"/>
  <c r="C77" i="7"/>
  <c r="C78" i="5"/>
  <c r="D294" i="6"/>
  <c r="D177" i="7"/>
  <c r="G95" i="4"/>
  <c r="D178" i="5"/>
  <c r="D79" i="4"/>
  <c r="D78" i="5"/>
  <c r="D294" i="4"/>
  <c r="G78" i="6"/>
  <c r="G78" i="4"/>
  <c r="H78" i="4"/>
  <c r="H78" i="6"/>
  <c r="G85" i="6"/>
  <c r="G85" i="4"/>
  <c r="H85" i="4"/>
  <c r="H85" i="6"/>
  <c r="J57" i="3"/>
  <c r="H105" i="6" s="1"/>
  <c r="D300" i="6"/>
  <c r="D302" i="6" s="1"/>
  <c r="D300" i="4"/>
  <c r="D302" i="4" s="1"/>
  <c r="D231" i="7"/>
  <c r="D79" i="6"/>
  <c r="B74" i="10"/>
  <c r="D163" i="7"/>
  <c r="D165" i="6"/>
  <c r="D165" i="4"/>
  <c r="D164" i="5"/>
  <c r="M103" i="10"/>
  <c r="D319" i="5"/>
  <c r="R72" i="10"/>
  <c r="D537" i="4"/>
  <c r="D539" i="4" s="1"/>
  <c r="D537" i="6"/>
  <c r="D539" i="6" s="1"/>
  <c r="M74" i="10"/>
  <c r="D431" i="4"/>
  <c r="D431" i="6"/>
  <c r="D296" i="7"/>
  <c r="D297" i="5"/>
  <c r="R59" i="10"/>
  <c r="R61" i="10" s="1"/>
  <c r="R96" i="10" s="1"/>
  <c r="D453" i="4"/>
  <c r="C106" i="4"/>
  <c r="C104" i="7"/>
  <c r="C105" i="5"/>
  <c r="C106" i="6"/>
  <c r="C95" i="4"/>
  <c r="C94" i="5"/>
  <c r="C95" i="6"/>
  <c r="C93" i="7"/>
  <c r="D232" i="5"/>
  <c r="B90" i="11"/>
  <c r="B92" i="11" s="1"/>
  <c r="N92" i="11"/>
  <c r="D233" i="4"/>
  <c r="G105" i="4"/>
  <c r="G105" i="6"/>
  <c r="D96" i="6"/>
  <c r="D95" i="5"/>
  <c r="D96" i="4"/>
  <c r="D94" i="7"/>
  <c r="H62" i="11"/>
  <c r="J47" i="3"/>
  <c r="D364" i="6"/>
  <c r="D366" i="6" s="1"/>
  <c r="D364" i="4"/>
  <c r="D366" i="4" s="1"/>
  <c r="D425" i="4"/>
  <c r="D427" i="4" s="1"/>
  <c r="D425" i="6"/>
  <c r="D427" i="6" s="1"/>
  <c r="D59" i="3"/>
  <c r="D290" i="7"/>
  <c r="D292" i="7" s="1"/>
  <c r="D291" i="5"/>
  <c r="D293" i="5" s="1"/>
  <c r="H59" i="3"/>
  <c r="D558" i="6"/>
  <c r="D560" i="6" s="1"/>
  <c r="S69" i="10"/>
  <c r="D558" i="4"/>
  <c r="D560" i="4" s="1"/>
  <c r="D233" i="6"/>
  <c r="J59" i="3"/>
  <c r="R62" i="11"/>
  <c r="D630" i="6"/>
  <c r="D632" i="6" s="1"/>
  <c r="D630" i="4"/>
  <c r="D632" i="4" s="1"/>
  <c r="C97" i="10"/>
  <c r="C99" i="10" s="1"/>
  <c r="L90" i="11"/>
  <c r="L92" i="11" s="1"/>
  <c r="AD32" i="3"/>
  <c r="D43" i="5" s="1"/>
  <c r="D90" i="11"/>
  <c r="D92" i="11" s="1"/>
  <c r="D447" i="6"/>
  <c r="D449" i="6" s="1"/>
  <c r="D312" i="7"/>
  <c r="D314" i="7" s="1"/>
  <c r="D447" i="4"/>
  <c r="D449" i="4" s="1"/>
  <c r="D313" i="5"/>
  <c r="D315" i="5" s="1"/>
  <c r="N90" i="10"/>
  <c r="D180" i="5"/>
  <c r="D182" i="5" s="1"/>
  <c r="D181" i="6"/>
  <c r="D183" i="6" s="1"/>
  <c r="D181" i="4"/>
  <c r="D183" i="4" s="1"/>
  <c r="D179" i="7"/>
  <c r="D181" i="7" s="1"/>
  <c r="H71" i="11"/>
  <c r="H79" i="11" s="1"/>
  <c r="H81" i="11" s="1"/>
  <c r="M52" i="11"/>
  <c r="M54" i="11" s="1"/>
  <c r="M89" i="11" s="1"/>
  <c r="D489" i="6"/>
  <c r="D491" i="6" s="1"/>
  <c r="D355" i="5"/>
  <c r="D357" i="5" s="1"/>
  <c r="D354" i="7"/>
  <c r="D356" i="7" s="1"/>
  <c r="D489" i="4"/>
  <c r="D491" i="4" s="1"/>
  <c r="F57" i="3"/>
  <c r="R67" i="11"/>
  <c r="J60" i="3" s="1"/>
  <c r="D636" i="4"/>
  <c r="D636" i="6"/>
  <c r="M67" i="11"/>
  <c r="D503" i="6"/>
  <c r="D503" i="4"/>
  <c r="D369" i="5"/>
  <c r="D368" i="7"/>
  <c r="G65" i="11"/>
  <c r="G67" i="11" s="1"/>
  <c r="G83" i="11" s="1"/>
  <c r="G85" i="11" s="1"/>
  <c r="G90" i="11" s="1"/>
  <c r="G36" i="11"/>
  <c r="G52" i="11" s="1"/>
  <c r="G54" i="11" s="1"/>
  <c r="G89" i="11" s="1"/>
  <c r="G79" i="11"/>
  <c r="G81" i="11" s="1"/>
  <c r="I36" i="11"/>
  <c r="I52" i="11" s="1"/>
  <c r="I54" i="11" s="1"/>
  <c r="I89" i="11" s="1"/>
  <c r="I65" i="11"/>
  <c r="I67" i="11" s="1"/>
  <c r="I83" i="11" s="1"/>
  <c r="I85" i="11" s="1"/>
  <c r="I90" i="11" s="1"/>
  <c r="H65" i="11"/>
  <c r="H36" i="11"/>
  <c r="D354" i="6"/>
  <c r="D354" i="4"/>
  <c r="I71" i="11"/>
  <c r="I79" i="11" s="1"/>
  <c r="I81" i="11" s="1"/>
  <c r="C52" i="11"/>
  <c r="C54" i="11" s="1"/>
  <c r="C89" i="11" s="1"/>
  <c r="D221" i="7"/>
  <c r="D223" i="7" s="1"/>
  <c r="F45" i="3"/>
  <c r="D223" i="4"/>
  <c r="D225" i="4" s="1"/>
  <c r="D223" i="6"/>
  <c r="D225" i="6" s="1"/>
  <c r="D222" i="5"/>
  <c r="D224" i="5" s="1"/>
  <c r="C67" i="11"/>
  <c r="D236" i="5"/>
  <c r="D237" i="6"/>
  <c r="D237" i="4"/>
  <c r="D235" i="7"/>
  <c r="R52" i="11"/>
  <c r="R54" i="11" s="1"/>
  <c r="R89" i="11" s="1"/>
  <c r="D622" i="4"/>
  <c r="D624" i="4" s="1"/>
  <c r="D622" i="6"/>
  <c r="D624" i="6" s="1"/>
  <c r="D76" i="7"/>
  <c r="D78" i="6"/>
  <c r="D77" i="5"/>
  <c r="D78" i="4"/>
  <c r="D83" i="7"/>
  <c r="D84" i="5"/>
  <c r="D85" i="6"/>
  <c r="D85" i="4"/>
  <c r="O97" i="10"/>
  <c r="C78" i="4"/>
  <c r="C77" i="5"/>
  <c r="C76" i="7"/>
  <c r="C78" i="6"/>
  <c r="C83" i="7"/>
  <c r="C85" i="6"/>
  <c r="C85" i="4"/>
  <c r="C84" i="5"/>
  <c r="C96" i="6" l="1"/>
  <c r="C94" i="7"/>
  <c r="C95" i="5"/>
  <c r="G106" i="6"/>
  <c r="H48" i="3"/>
  <c r="G97" i="6" s="1"/>
  <c r="D580" i="4"/>
  <c r="D582" i="4" s="1"/>
  <c r="D187" i="6"/>
  <c r="D186" i="5"/>
  <c r="D185" i="7"/>
  <c r="B103" i="10"/>
  <c r="AB5" i="9" s="1"/>
  <c r="G103" i="10"/>
  <c r="AB15" i="9" s="1"/>
  <c r="T90" i="10"/>
  <c r="T92" i="10" s="1"/>
  <c r="T97" i="10" s="1"/>
  <c r="T99" i="10" s="1"/>
  <c r="D320" i="6"/>
  <c r="G94" i="6"/>
  <c r="C94" i="6"/>
  <c r="D151" i="4"/>
  <c r="D153" i="4" s="1"/>
  <c r="C93" i="5"/>
  <c r="C94" i="4"/>
  <c r="H99" i="10"/>
  <c r="C100" i="10" s="1"/>
  <c r="H105" i="4"/>
  <c r="J45" i="3"/>
  <c r="H94" i="4" s="1"/>
  <c r="S97" i="10"/>
  <c r="S99" i="10" s="1"/>
  <c r="D321" i="4"/>
  <c r="B90" i="10"/>
  <c r="D165" i="7"/>
  <c r="D167" i="7" s="1"/>
  <c r="D167" i="6"/>
  <c r="D169" i="6" s="1"/>
  <c r="D166" i="5"/>
  <c r="D168" i="5" s="1"/>
  <c r="D167" i="4"/>
  <c r="D169" i="4" s="1"/>
  <c r="D586" i="4"/>
  <c r="R103" i="10"/>
  <c r="D586" i="6"/>
  <c r="R74" i="10"/>
  <c r="D564" i="4"/>
  <c r="D564" i="6"/>
  <c r="D433" i="6"/>
  <c r="D435" i="6" s="1"/>
  <c r="D298" i="7"/>
  <c r="D300" i="7" s="1"/>
  <c r="D433" i="4"/>
  <c r="D435" i="4" s="1"/>
  <c r="D299" i="5"/>
  <c r="D301" i="5" s="1"/>
  <c r="M90" i="10"/>
  <c r="M92" i="10" s="1"/>
  <c r="M97" i="10" s="1"/>
  <c r="M99" i="10" s="1"/>
  <c r="D44" i="6"/>
  <c r="V82" i="3"/>
  <c r="T79" i="3"/>
  <c r="G56" i="5" s="1"/>
  <c r="D321" i="6"/>
  <c r="G104" i="10"/>
  <c r="AB16" i="9" s="1"/>
  <c r="G107" i="6"/>
  <c r="G107" i="4"/>
  <c r="C106" i="5"/>
  <c r="C105" i="7"/>
  <c r="C107" i="4"/>
  <c r="C107" i="6"/>
  <c r="H107" i="4"/>
  <c r="H107" i="6"/>
  <c r="H96" i="6"/>
  <c r="H96" i="4"/>
  <c r="G92" i="11"/>
  <c r="G93" i="11" s="1"/>
  <c r="D44" i="4"/>
  <c r="D42" i="7"/>
  <c r="N92" i="10"/>
  <c r="N97" i="10" s="1"/>
  <c r="D454" i="6" s="1"/>
  <c r="D60" i="3"/>
  <c r="Q96" i="11"/>
  <c r="D644" i="6"/>
  <c r="D644" i="4"/>
  <c r="H52" i="11"/>
  <c r="H54" i="11" s="1"/>
  <c r="H89" i="11" s="1"/>
  <c r="D356" i="6"/>
  <c r="D358" i="6" s="1"/>
  <c r="D356" i="4"/>
  <c r="D358" i="4" s="1"/>
  <c r="D243" i="7"/>
  <c r="D245" i="6"/>
  <c r="B96" i="11"/>
  <c r="AB9" i="9" s="1"/>
  <c r="D245" i="4"/>
  <c r="D244" i="5"/>
  <c r="D377" i="5"/>
  <c r="D511" i="6"/>
  <c r="D376" i="7"/>
  <c r="D511" i="4"/>
  <c r="L96" i="11"/>
  <c r="C83" i="11"/>
  <c r="C85" i="11" s="1"/>
  <c r="C90" i="11" s="1"/>
  <c r="D238" i="5"/>
  <c r="D240" i="5" s="1"/>
  <c r="D237" i="7"/>
  <c r="D239" i="7" s="1"/>
  <c r="D239" i="6"/>
  <c r="D241" i="6" s="1"/>
  <c r="D239" i="4"/>
  <c r="D241" i="4" s="1"/>
  <c r="F48" i="3"/>
  <c r="D92" i="7"/>
  <c r="D93" i="5"/>
  <c r="D94" i="6"/>
  <c r="D94" i="4"/>
  <c r="L93" i="11"/>
  <c r="Q93" i="11"/>
  <c r="H67" i="11"/>
  <c r="J48" i="3" s="1"/>
  <c r="D370" i="6"/>
  <c r="D370" i="4"/>
  <c r="M83" i="11"/>
  <c r="M85" i="11" s="1"/>
  <c r="M90" i="11" s="1"/>
  <c r="D505" i="6"/>
  <c r="D507" i="6" s="1"/>
  <c r="D371" i="5"/>
  <c r="D373" i="5" s="1"/>
  <c r="D505" i="4"/>
  <c r="D507" i="4" s="1"/>
  <c r="F60" i="3"/>
  <c r="D370" i="7"/>
  <c r="D372" i="7" s="1"/>
  <c r="R83" i="11"/>
  <c r="R85" i="11" s="1"/>
  <c r="R90" i="11" s="1"/>
  <c r="D638" i="6"/>
  <c r="D640" i="6" s="1"/>
  <c r="D638" i="4"/>
  <c r="D640" i="4" s="1"/>
  <c r="D104" i="5"/>
  <c r="D105" i="6"/>
  <c r="D105" i="4"/>
  <c r="D103" i="7"/>
  <c r="O99" i="10"/>
  <c r="I92" i="11"/>
  <c r="D99" i="10"/>
  <c r="S93" i="11"/>
  <c r="N93" i="11"/>
  <c r="H49" i="3" l="1"/>
  <c r="G98" i="6" s="1"/>
  <c r="G97" i="4"/>
  <c r="H60" i="3"/>
  <c r="G108" i="6" s="1"/>
  <c r="O100" i="10"/>
  <c r="D323" i="6"/>
  <c r="D323" i="4"/>
  <c r="H94" i="6"/>
  <c r="H100" i="10"/>
  <c r="G57" i="6"/>
  <c r="G26" i="3"/>
  <c r="G55" i="7"/>
  <c r="B92" i="10"/>
  <c r="B97" i="10" s="1"/>
  <c r="D48" i="3"/>
  <c r="R90" i="10"/>
  <c r="R92" i="10" s="1"/>
  <c r="R97" i="10" s="1"/>
  <c r="D566" i="6"/>
  <c r="D568" i="6" s="1"/>
  <c r="D566" i="4"/>
  <c r="D568" i="4" s="1"/>
  <c r="G57" i="4"/>
  <c r="D320" i="5"/>
  <c r="B93" i="11"/>
  <c r="H61" i="3"/>
  <c r="T100" i="10"/>
  <c r="M104" i="10"/>
  <c r="C108" i="4"/>
  <c r="C106" i="7"/>
  <c r="C107" i="5"/>
  <c r="C108" i="6"/>
  <c r="N99" i="10"/>
  <c r="D321" i="7" s="1"/>
  <c r="D319" i="7"/>
  <c r="D454" i="4"/>
  <c r="M92" i="11"/>
  <c r="D512" i="6"/>
  <c r="D378" i="5"/>
  <c r="L97" i="11"/>
  <c r="D377" i="7"/>
  <c r="D512" i="4"/>
  <c r="D378" i="4"/>
  <c r="D378" i="6"/>
  <c r="G96" i="11"/>
  <c r="AB19" i="9" s="1"/>
  <c r="R92" i="11"/>
  <c r="J61" i="3" s="1"/>
  <c r="Q97" i="11"/>
  <c r="D645" i="4"/>
  <c r="D645" i="6"/>
  <c r="H83" i="11"/>
  <c r="H85" i="11" s="1"/>
  <c r="H90" i="11" s="1"/>
  <c r="D372" i="4"/>
  <c r="D374" i="4" s="1"/>
  <c r="D372" i="6"/>
  <c r="D374" i="6" s="1"/>
  <c r="C92" i="11"/>
  <c r="D246" i="4"/>
  <c r="D246" i="6"/>
  <c r="D245" i="5"/>
  <c r="B97" i="11"/>
  <c r="AB10" i="9" s="1"/>
  <c r="D244" i="7"/>
  <c r="D93" i="11"/>
  <c r="I93" i="11"/>
  <c r="D100" i="10"/>
  <c r="I100" i="10"/>
  <c r="R44" i="3" l="1"/>
  <c r="G98" i="4"/>
  <c r="G108" i="4"/>
  <c r="C97" i="6"/>
  <c r="C96" i="5"/>
  <c r="C95" i="7"/>
  <c r="C97" i="4"/>
  <c r="B99" i="10"/>
  <c r="D186" i="7"/>
  <c r="D188" i="6"/>
  <c r="D187" i="5"/>
  <c r="B104" i="10"/>
  <c r="AB6" i="9" s="1"/>
  <c r="D188" i="4"/>
  <c r="R99" i="10"/>
  <c r="D587" i="4"/>
  <c r="D587" i="6"/>
  <c r="R104" i="10"/>
  <c r="D456" i="4"/>
  <c r="G109" i="6"/>
  <c r="R53" i="3"/>
  <c r="G109" i="4"/>
  <c r="H109" i="6"/>
  <c r="H109" i="4"/>
  <c r="R54" i="3"/>
  <c r="D456" i="6"/>
  <c r="N100" i="10"/>
  <c r="S100" i="10"/>
  <c r="D322" i="5"/>
  <c r="D61" i="3"/>
  <c r="G97" i="11"/>
  <c r="AB20" i="9" s="1"/>
  <c r="D379" i="6"/>
  <c r="D379" i="4"/>
  <c r="R93" i="11"/>
  <c r="D647" i="4"/>
  <c r="D647" i="6"/>
  <c r="H92" i="11"/>
  <c r="F49" i="3"/>
  <c r="D246" i="7"/>
  <c r="D247" i="5"/>
  <c r="D248" i="6"/>
  <c r="D248" i="4"/>
  <c r="D380" i="5"/>
  <c r="D514" i="4"/>
  <c r="M93" i="11"/>
  <c r="F61" i="3"/>
  <c r="D379" i="7"/>
  <c r="D514" i="6"/>
  <c r="G100" i="10" l="1"/>
  <c r="B100" i="10"/>
  <c r="D190" i="6"/>
  <c r="D188" i="7"/>
  <c r="D49" i="3"/>
  <c r="D190" i="4"/>
  <c r="D189" i="5"/>
  <c r="M100" i="10"/>
  <c r="R100" i="10"/>
  <c r="D589" i="4"/>
  <c r="D589" i="6"/>
  <c r="R55" i="3"/>
  <c r="C93" i="11"/>
  <c r="J49" i="3"/>
  <c r="Q53" i="3"/>
  <c r="C108" i="5"/>
  <c r="C107" i="7"/>
  <c r="C109" i="6"/>
  <c r="C109" i="4"/>
  <c r="D98" i="4"/>
  <c r="D96" i="7"/>
  <c r="D97" i="5"/>
  <c r="D98" i="6"/>
  <c r="Q45" i="3"/>
  <c r="H93" i="11"/>
  <c r="D381" i="4"/>
  <c r="D381" i="6"/>
  <c r="Q54" i="3"/>
  <c r="D108" i="5"/>
  <c r="D109" i="6"/>
  <c r="D109" i="4"/>
  <c r="D107" i="7"/>
  <c r="C98" i="6" l="1"/>
  <c r="C98" i="4"/>
  <c r="C97" i="5"/>
  <c r="C96" i="7"/>
  <c r="Q44" i="3"/>
  <c r="Q46" i="3" s="1"/>
  <c r="R45" i="3"/>
  <c r="R46" i="3" s="1"/>
  <c r="H98" i="4"/>
  <c r="H98" i="6"/>
  <c r="Q55" i="3"/>
  <c r="Q56" i="3" s="1"/>
  <c r="F33" i="3" l="1"/>
  <c r="C110" i="4" s="1"/>
  <c r="Q48" i="3"/>
  <c r="B108" i="7" l="1"/>
  <c r="F29" i="3"/>
  <c r="B97" i="7" s="1"/>
  <c r="C110" i="6"/>
  <c r="B109" i="5"/>
  <c r="B98" i="5" l="1"/>
  <c r="C99" i="4"/>
  <c r="C9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Luetzow, Thomas</author>
    <author>luettho</author>
  </authors>
  <commentList>
    <comment ref="B3" authorId="0" shapeId="0" xr:uid="{00000000-0006-0000-0500-000001000000}">
      <text>
        <r>
          <rPr>
            <b/>
            <u/>
            <sz val="11"/>
            <color indexed="81"/>
            <rFont val="Arial"/>
            <family val="2"/>
          </rPr>
          <t>Die Auswahl definiert, in Verbindung mit der Kappenbreite und -höhe, die anzusetzenden indirekten Einwirkungen:</t>
        </r>
        <r>
          <rPr>
            <b/>
            <sz val="11"/>
            <color indexed="81"/>
            <rFont val="Arial"/>
            <family val="2"/>
          </rPr>
          <t xml:space="preserve">
Instandsetzung Kappe:                         Betonage Kappe erfolgt zeitlich wesentlich später als die des Tragwerks (Überbau)
Neubau Kappe und Überbau:               Betonage Kappe erfolgt bis ca. 30 Tage nach Tragwerk (Überbau)
Nachträgliche Kappenverankerung:   bestehende Kappe wird nachträglich (zusätzlich) verankert
Sonderfall:                                               ohne indirekten Einwirkungen aus Temperatur, Kriechen, Schwinden </t>
        </r>
      </text>
    </comment>
    <comment ref="B4" authorId="0" shapeId="0" xr:uid="{00000000-0006-0000-0500-000002000000}">
      <text>
        <r>
          <rPr>
            <b/>
            <sz val="11"/>
            <color indexed="81"/>
            <rFont val="Arial"/>
            <family val="2"/>
          </rPr>
          <t>für Querkraft-Einwirkungen auf Kappenverankerung wird Dimension M20 oder M24 empfohlen</t>
        </r>
      </text>
    </comment>
    <comment ref="B7" authorId="0" shapeId="0" xr:uid="{00000000-0006-0000-0500-000003000000}">
      <text>
        <r>
          <rPr>
            <b/>
            <u/>
            <sz val="11"/>
            <color indexed="81"/>
            <rFont val="Arial"/>
            <family val="2"/>
          </rPr>
          <t>c</t>
        </r>
        <r>
          <rPr>
            <b/>
            <u/>
            <vertAlign val="subscript"/>
            <sz val="11"/>
            <color indexed="81"/>
            <rFont val="Arial"/>
            <family val="2"/>
          </rPr>
          <t>min</t>
        </r>
        <r>
          <rPr>
            <b/>
            <u/>
            <sz val="11"/>
            <color indexed="81"/>
            <rFont val="Arial"/>
            <family val="2"/>
          </rPr>
          <t xml:space="preserve"> Wert lt. ETA:</t>
        </r>
        <r>
          <rPr>
            <b/>
            <sz val="11"/>
            <color indexed="81"/>
            <rFont val="Arial"/>
            <family val="2"/>
          </rPr>
          <t xml:space="preserve">
c</t>
        </r>
        <r>
          <rPr>
            <b/>
            <vertAlign val="subscript"/>
            <sz val="11"/>
            <color indexed="81"/>
            <rFont val="Arial"/>
            <family val="2"/>
          </rPr>
          <t xml:space="preserve">T </t>
        </r>
        <r>
          <rPr>
            <b/>
            <sz val="11"/>
            <color indexed="81"/>
            <rFont val="Arial"/>
            <family val="2"/>
          </rPr>
          <t>≥ c</t>
        </r>
        <r>
          <rPr>
            <b/>
            <vertAlign val="subscript"/>
            <sz val="11"/>
            <color indexed="81"/>
            <rFont val="Arial"/>
            <family val="2"/>
          </rPr>
          <t xml:space="preserve">min </t>
        </r>
        <r>
          <rPr>
            <b/>
            <sz val="11"/>
            <color indexed="81"/>
            <rFont val="Arial"/>
            <family val="2"/>
          </rPr>
          <t xml:space="preserve"> bzw. c</t>
        </r>
        <r>
          <rPr>
            <b/>
            <vertAlign val="subscript"/>
            <sz val="11"/>
            <color indexed="81"/>
            <rFont val="Arial"/>
            <family val="2"/>
          </rPr>
          <t>T</t>
        </r>
        <r>
          <rPr>
            <b/>
            <sz val="11"/>
            <color indexed="81"/>
            <rFont val="Arial"/>
            <family val="2"/>
          </rPr>
          <t xml:space="preserve"> - s</t>
        </r>
        <r>
          <rPr>
            <b/>
            <vertAlign val="subscript"/>
            <sz val="11"/>
            <color indexed="81"/>
            <rFont val="Arial"/>
            <family val="2"/>
          </rPr>
          <t>1</t>
        </r>
        <r>
          <rPr>
            <b/>
            <sz val="11"/>
            <color indexed="81"/>
            <rFont val="Arial"/>
            <family val="2"/>
          </rPr>
          <t xml:space="preserve"> ≥ c</t>
        </r>
        <r>
          <rPr>
            <b/>
            <vertAlign val="subscript"/>
            <sz val="11"/>
            <color indexed="81"/>
            <rFont val="Arial"/>
            <family val="2"/>
          </rPr>
          <t xml:space="preserve">min
</t>
        </r>
        <r>
          <rPr>
            <b/>
            <sz val="11"/>
            <color indexed="81"/>
            <rFont val="Arial"/>
            <family val="2"/>
          </rPr>
          <t>M16 ≥ 80 mm
M20 ≥ 100 mm
M24 ≥ 120 mm</t>
        </r>
      </text>
    </comment>
    <comment ref="B8" authorId="0" shapeId="0" xr:uid="{00000000-0006-0000-0500-000004000000}">
      <text>
        <r>
          <rPr>
            <b/>
            <u/>
            <sz val="11"/>
            <color indexed="81"/>
            <rFont val="Arial"/>
            <family val="2"/>
          </rPr>
          <t>min. = Wert oder h</t>
        </r>
        <r>
          <rPr>
            <b/>
            <u/>
            <vertAlign val="subscript"/>
            <sz val="11"/>
            <color indexed="81"/>
            <rFont val="Arial"/>
            <family val="2"/>
          </rPr>
          <t>T,ef</t>
        </r>
        <r>
          <rPr>
            <b/>
            <u/>
            <sz val="11"/>
            <color indexed="81"/>
            <rFont val="Arial"/>
            <family val="2"/>
          </rPr>
          <t xml:space="preserve"> + 2 * d</t>
        </r>
        <r>
          <rPr>
            <b/>
            <u/>
            <vertAlign val="subscript"/>
            <sz val="11"/>
            <color indexed="81"/>
            <rFont val="Arial"/>
            <family val="2"/>
          </rPr>
          <t>o</t>
        </r>
        <r>
          <rPr>
            <b/>
            <u/>
            <sz val="11"/>
            <color indexed="81"/>
            <rFont val="Arial"/>
            <family val="2"/>
          </rPr>
          <t xml:space="preserve"> (d</t>
        </r>
        <r>
          <rPr>
            <b/>
            <u/>
            <vertAlign val="subscript"/>
            <sz val="11"/>
            <color indexed="81"/>
            <rFont val="Arial"/>
            <family val="2"/>
          </rPr>
          <t>o</t>
        </r>
        <r>
          <rPr>
            <b/>
            <u/>
            <sz val="11"/>
            <color indexed="81"/>
            <rFont val="Arial"/>
            <family val="2"/>
          </rPr>
          <t xml:space="preserve"> = Bohrloch-Ø):</t>
        </r>
        <r>
          <rPr>
            <b/>
            <sz val="11"/>
            <color indexed="81"/>
            <rFont val="Arial"/>
            <family val="2"/>
          </rPr>
          <t xml:space="preserve">
M16:  ≥ 101 mm bzw. Verankerungslänge h</t>
        </r>
        <r>
          <rPr>
            <b/>
            <vertAlign val="subscript"/>
            <sz val="11"/>
            <color indexed="81"/>
            <rFont val="Arial"/>
            <family val="2"/>
          </rPr>
          <t>T,ef</t>
        </r>
        <r>
          <rPr>
            <b/>
            <sz val="11"/>
            <color indexed="81"/>
            <rFont val="Arial"/>
            <family val="2"/>
          </rPr>
          <t xml:space="preserve">  + 36 mm
M20:  ≥ 128 mm bzw. Verankerungslänge h</t>
        </r>
        <r>
          <rPr>
            <b/>
            <vertAlign val="subscript"/>
            <sz val="11"/>
            <color indexed="81"/>
            <rFont val="Arial"/>
            <family val="2"/>
          </rPr>
          <t>T,ef</t>
        </r>
        <r>
          <rPr>
            <b/>
            <sz val="11"/>
            <color indexed="81"/>
            <rFont val="Arial"/>
            <family val="2"/>
          </rPr>
          <t xml:space="preserve">  + 44 mm
M24:  ≥ 151 mm bzw. Verankerungslänge h</t>
        </r>
        <r>
          <rPr>
            <b/>
            <vertAlign val="subscript"/>
            <sz val="11"/>
            <color indexed="81"/>
            <rFont val="Arial"/>
            <family val="2"/>
          </rPr>
          <t>T,ef</t>
        </r>
        <r>
          <rPr>
            <b/>
            <sz val="11"/>
            <color indexed="81"/>
            <rFont val="Arial"/>
            <family val="2"/>
          </rPr>
          <t xml:space="preserve">  + 56 mm</t>
        </r>
      </text>
    </comment>
    <comment ref="B10" authorId="1" shapeId="0" xr:uid="{00000000-0006-0000-0500-000005000000}">
      <text>
        <r>
          <rPr>
            <b/>
            <u/>
            <sz val="11"/>
            <color indexed="81"/>
            <rFont val="Arial"/>
            <family val="2"/>
          </rPr>
          <t>gewählter Wert im Bereich lt. ETA (d</t>
        </r>
        <r>
          <rPr>
            <b/>
            <u/>
            <vertAlign val="subscript"/>
            <sz val="11"/>
            <color indexed="81"/>
            <rFont val="Arial"/>
            <family val="2"/>
          </rPr>
          <t>o</t>
        </r>
        <r>
          <rPr>
            <b/>
            <u/>
            <sz val="11"/>
            <color indexed="81"/>
            <rFont val="Arial"/>
            <family val="2"/>
          </rPr>
          <t xml:space="preserve"> = Bohrloch-Ø):</t>
        </r>
        <r>
          <rPr>
            <b/>
            <sz val="11"/>
            <color indexed="81"/>
            <rFont val="Arial"/>
            <family val="2"/>
          </rPr>
          <t xml:space="preserve">
M16:   ≥ 65 mm ≤ H</t>
        </r>
        <r>
          <rPr>
            <b/>
            <vertAlign val="subscript"/>
            <sz val="11"/>
            <color indexed="81"/>
            <rFont val="Arial"/>
            <family val="2"/>
          </rPr>
          <t>T</t>
        </r>
        <r>
          <rPr>
            <b/>
            <sz val="11"/>
            <color indexed="81"/>
            <rFont val="Arial"/>
            <family val="2"/>
          </rPr>
          <t xml:space="preserve">  - 36 mm (2 * d</t>
        </r>
        <r>
          <rPr>
            <b/>
            <vertAlign val="subscript"/>
            <sz val="11"/>
            <color indexed="81"/>
            <rFont val="Arial"/>
            <family val="2"/>
          </rPr>
          <t>o</t>
        </r>
        <r>
          <rPr>
            <b/>
            <sz val="11"/>
            <color indexed="81"/>
            <rFont val="Arial"/>
            <family val="2"/>
          </rPr>
          <t>) 
M20:   ≥ 80 mm ≤ H</t>
        </r>
        <r>
          <rPr>
            <b/>
            <vertAlign val="subscript"/>
            <sz val="11"/>
            <color indexed="81"/>
            <rFont val="Arial"/>
            <family val="2"/>
          </rPr>
          <t xml:space="preserve">T   </t>
        </r>
        <r>
          <rPr>
            <b/>
            <sz val="11"/>
            <color indexed="81"/>
            <rFont val="Arial"/>
            <family val="2"/>
          </rPr>
          <t>- 44 mm (2 * do)
M24:   ≥ 95 mm ≤ H</t>
        </r>
        <r>
          <rPr>
            <b/>
            <vertAlign val="subscript"/>
            <sz val="11"/>
            <color indexed="81"/>
            <rFont val="Arial"/>
            <family val="2"/>
          </rPr>
          <t>T</t>
        </r>
        <r>
          <rPr>
            <b/>
            <sz val="11"/>
            <color indexed="81"/>
            <rFont val="Arial"/>
            <family val="2"/>
          </rPr>
          <t xml:space="preserve">  - 56 mm (2 * do)
</t>
        </r>
      </text>
    </comment>
    <comment ref="B13" authorId="0" shapeId="0" xr:uid="{00000000-0006-0000-0500-000006000000}">
      <text>
        <r>
          <rPr>
            <b/>
            <sz val="11"/>
            <color indexed="81"/>
            <rFont val="Arial"/>
            <family val="2"/>
          </rPr>
          <t>Normalbeton oder gefügedichter Leichtbeton mit Zuschlagstoff Natursand</t>
        </r>
      </text>
    </comment>
    <comment ref="B14" authorId="0" shapeId="0" xr:uid="{00000000-0006-0000-0500-000007000000}">
      <text>
        <r>
          <rPr>
            <b/>
            <sz val="11"/>
            <color indexed="81"/>
            <rFont val="Arial"/>
            <family val="2"/>
          </rPr>
          <t>1600 - 2200 kg/m</t>
        </r>
        <r>
          <rPr>
            <b/>
            <vertAlign val="superscript"/>
            <sz val="11"/>
            <color indexed="81"/>
            <rFont val="Arial"/>
            <family val="2"/>
          </rPr>
          <t>3</t>
        </r>
        <r>
          <rPr>
            <b/>
            <sz val="11"/>
            <color indexed="81"/>
            <rFont val="Arial"/>
            <family val="2"/>
          </rPr>
          <t xml:space="preserve">
Zuschlagstoff: Natursand</t>
        </r>
      </text>
    </comment>
    <comment ref="B15" authorId="0" shapeId="0" xr:uid="{00000000-0006-0000-0500-000008000000}">
      <text>
        <r>
          <rPr>
            <b/>
            <sz val="11"/>
            <color indexed="81"/>
            <rFont val="Arial"/>
            <family val="2"/>
          </rPr>
          <t>Für maximale Widerstände aufgrund hoher Zugkräfte aus M</t>
        </r>
        <r>
          <rPr>
            <b/>
            <vertAlign val="subscript"/>
            <sz val="11"/>
            <color indexed="81"/>
            <rFont val="Arial"/>
            <family val="2"/>
          </rPr>
          <t xml:space="preserve">sd,y,direkt </t>
        </r>
        <r>
          <rPr>
            <b/>
            <sz val="11"/>
            <color indexed="81"/>
            <rFont val="Arial"/>
            <family val="2"/>
          </rPr>
          <t>, ist die Innengewinde-Kopfplatte zu empfehlen. 
M20: D=50 mm 
M24: D=70 mm</t>
        </r>
      </text>
    </comment>
    <comment ref="B16" authorId="0" shapeId="0" xr:uid="{00000000-0006-0000-0500-000009000000}">
      <text>
        <r>
          <rPr>
            <b/>
            <u/>
            <sz val="11"/>
            <color indexed="81"/>
            <rFont val="Arial"/>
            <family val="2"/>
          </rPr>
          <t>min. Wert lt. ETA:</t>
        </r>
        <r>
          <rPr>
            <b/>
            <sz val="11"/>
            <color indexed="81"/>
            <rFont val="Arial"/>
            <family val="2"/>
          </rPr>
          <t xml:space="preserve">
M16:  ≥ 80 mm
M20:  ≥ 100 mm
M24:  ≥ 120 mm
Empfehlung: ≥ 1,5 x Verankerungslänge h</t>
        </r>
        <r>
          <rPr>
            <b/>
            <vertAlign val="subscript"/>
            <sz val="11"/>
            <color indexed="81"/>
            <rFont val="Arial"/>
            <family val="2"/>
          </rPr>
          <t>K,ef</t>
        </r>
      </text>
    </comment>
    <comment ref="B17" authorId="0" shapeId="0" xr:uid="{00000000-0006-0000-0500-00000A000000}">
      <text>
        <r>
          <rPr>
            <b/>
            <u/>
            <sz val="11"/>
            <color indexed="81"/>
            <rFont val="Arial"/>
            <family val="2"/>
          </rPr>
          <t>min. Wert lt. ETA:</t>
        </r>
        <r>
          <rPr>
            <b/>
            <sz val="11"/>
            <color indexed="81"/>
            <rFont val="Arial"/>
            <family val="2"/>
          </rPr>
          <t xml:space="preserve">
M16:   ≥ 80 mm
M20:   ≥ 100 mm
M24:   ≥ 120 mm
Empfehlung: 
hohe Zugkräfte infolge M</t>
        </r>
        <r>
          <rPr>
            <b/>
            <vertAlign val="subscript"/>
            <sz val="11"/>
            <color indexed="81"/>
            <rFont val="Arial"/>
            <family val="2"/>
          </rPr>
          <t>sd,y,direkt</t>
        </r>
        <r>
          <rPr>
            <b/>
            <sz val="11"/>
            <color indexed="81"/>
            <rFont val="Arial"/>
            <family val="2"/>
          </rPr>
          <t xml:space="preserve"> : ca. 260 mm
hohe Querkräfte infolge V</t>
        </r>
        <r>
          <rPr>
            <b/>
            <vertAlign val="subscript"/>
            <sz val="11"/>
            <color indexed="81"/>
            <rFont val="Arial"/>
            <family val="2"/>
          </rPr>
          <t>sd,y,direkt</t>
        </r>
        <r>
          <rPr>
            <b/>
            <sz val="11"/>
            <color indexed="81"/>
            <rFont val="Arial"/>
            <family val="2"/>
          </rPr>
          <t xml:space="preserve"> : ca. 150 mm</t>
        </r>
      </text>
    </comment>
    <comment ref="B19" authorId="0" shapeId="0" xr:uid="{00000000-0006-0000-0500-00000B000000}">
      <text>
        <r>
          <rPr>
            <b/>
            <u/>
            <sz val="11"/>
            <color indexed="81"/>
            <rFont val="Arial"/>
            <family val="2"/>
          </rPr>
          <t>Betondeckung in Abhängigkeit von Umweltbedingungen, Material HCC und Einbau in Kappenbewehrung:</t>
        </r>
        <r>
          <rPr>
            <b/>
            <sz val="11"/>
            <color indexed="81"/>
            <rFont val="Arial"/>
            <family val="2"/>
          </rPr>
          <t xml:space="preserve">
RIZ-ING: c</t>
        </r>
        <r>
          <rPr>
            <b/>
            <vertAlign val="subscript"/>
            <sz val="11"/>
            <color indexed="81"/>
            <rFont val="Arial"/>
            <family val="2"/>
          </rPr>
          <t>nom</t>
        </r>
        <r>
          <rPr>
            <b/>
            <sz val="11"/>
            <color indexed="81"/>
            <rFont val="Arial"/>
            <family val="2"/>
          </rPr>
          <t xml:space="preserve"> = 50 mm für obere Kappenlängsbewehrung aus Betonstahl
</t>
        </r>
        <r>
          <rPr>
            <b/>
            <u/>
            <sz val="11"/>
            <color indexed="81"/>
            <rFont val="Arial"/>
            <family val="2"/>
          </rPr>
          <t>Empfehlung für HCC-HIT-V/-C aus nichtrostendem Stahl A4:</t>
        </r>
        <r>
          <rPr>
            <b/>
            <sz val="11"/>
            <color indexed="81"/>
            <rFont val="Arial"/>
            <family val="2"/>
          </rPr>
          <t xml:space="preserve"> 
c</t>
        </r>
        <r>
          <rPr>
            <b/>
            <vertAlign val="subscript"/>
            <sz val="11"/>
            <color indexed="81"/>
            <rFont val="Arial"/>
            <family val="2"/>
          </rPr>
          <t>nom</t>
        </r>
        <r>
          <rPr>
            <b/>
            <sz val="11"/>
            <color indexed="81"/>
            <rFont val="Arial"/>
            <family val="2"/>
          </rPr>
          <t xml:space="preserve"> generell: beliebige bzw. negative Werte möglich (z.B. c</t>
        </r>
        <r>
          <rPr>
            <b/>
            <vertAlign val="subscript"/>
            <sz val="11"/>
            <color indexed="81"/>
            <rFont val="Arial"/>
            <family val="2"/>
          </rPr>
          <t>nom</t>
        </r>
        <r>
          <rPr>
            <b/>
            <sz val="11"/>
            <color indexed="81"/>
            <rFont val="Arial"/>
            <family val="2"/>
          </rPr>
          <t xml:space="preserve"> = - 19 für Höhe Kopfbolzen M24 mit H</t>
        </r>
        <r>
          <rPr>
            <b/>
            <vertAlign val="subscript"/>
            <sz val="11"/>
            <color indexed="81"/>
            <rFont val="Arial"/>
            <family val="2"/>
          </rPr>
          <t xml:space="preserve">K1 </t>
        </r>
        <r>
          <rPr>
            <b/>
            <sz val="11"/>
            <color indexed="81"/>
            <rFont val="Arial"/>
            <family val="2"/>
          </rPr>
          <t xml:space="preserve"> = 19 mm, wenn vorhandene Kappe ohne Senkung nachträglich befestigt wird H</t>
        </r>
        <r>
          <rPr>
            <b/>
            <vertAlign val="subscript"/>
            <sz val="11"/>
            <color indexed="81"/>
            <rFont val="Arial"/>
            <family val="2"/>
          </rPr>
          <t>K</t>
        </r>
        <r>
          <rPr>
            <b/>
            <sz val="11"/>
            <color indexed="81"/>
            <rFont val="Arial"/>
            <family val="2"/>
          </rPr>
          <t xml:space="preserve"> = h</t>
        </r>
        <r>
          <rPr>
            <b/>
            <vertAlign val="subscript"/>
            <sz val="11"/>
            <color indexed="81"/>
            <rFont val="Arial"/>
            <family val="2"/>
          </rPr>
          <t xml:space="preserve">K,ef </t>
        </r>
        <r>
          <rPr>
            <b/>
            <sz val="11"/>
            <color indexed="81"/>
            <rFont val="Arial"/>
            <family val="2"/>
          </rPr>
          <t>)
c</t>
        </r>
        <r>
          <rPr>
            <b/>
            <vertAlign val="subscript"/>
            <sz val="11"/>
            <color indexed="81"/>
            <rFont val="Arial"/>
            <family val="2"/>
          </rPr>
          <t>nom</t>
        </r>
        <r>
          <rPr>
            <b/>
            <sz val="11"/>
            <color indexed="81"/>
            <rFont val="Arial"/>
            <family val="2"/>
          </rPr>
          <t xml:space="preserve"> ≥ 30 mm für Sechskantmuttern M16 / M20 / M24 und Kopfplatte M20 (Ø 50 mm)
c</t>
        </r>
        <r>
          <rPr>
            <b/>
            <vertAlign val="subscript"/>
            <sz val="11"/>
            <color indexed="81"/>
            <rFont val="Arial"/>
            <family val="2"/>
          </rPr>
          <t xml:space="preserve">nom </t>
        </r>
        <r>
          <rPr>
            <b/>
            <sz val="11"/>
            <color indexed="81"/>
            <rFont val="Arial"/>
            <family val="2"/>
          </rPr>
          <t>≥ 60 mm für Kopfplatte M24 (Ø 70 mm), kein Einbau zwischen oberer Längsbewehrung mit lichtem Abstand ≤ 55 mm (lt. RIZ-ING Kap 1)</t>
        </r>
      </text>
    </comment>
    <comment ref="B20" authorId="0" shapeId="0" xr:uid="{00000000-0006-0000-0500-00000C000000}">
      <text>
        <r>
          <rPr>
            <b/>
            <sz val="11"/>
            <color indexed="81"/>
            <rFont val="Arial"/>
            <family val="2"/>
          </rPr>
          <t>Höhe Kopfbolzen H</t>
        </r>
        <r>
          <rPr>
            <b/>
            <vertAlign val="subscript"/>
            <sz val="11"/>
            <color indexed="81"/>
            <rFont val="Arial"/>
            <family val="2"/>
          </rPr>
          <t xml:space="preserve">K1 </t>
        </r>
        <r>
          <rPr>
            <b/>
            <sz val="11"/>
            <color indexed="81"/>
            <rFont val="Arial"/>
            <family val="2"/>
          </rPr>
          <t>(Mutter oder Kopfplatte KP): 
M16 = 13 mm 
M20 = 16 mm
M24 = 19 mm</t>
        </r>
      </text>
    </comment>
    <comment ref="B21" authorId="1" shapeId="0" xr:uid="{00000000-0006-0000-0500-00000D000000}">
      <text>
        <r>
          <rPr>
            <b/>
            <sz val="11"/>
            <color indexed="81"/>
            <rFont val="Arial"/>
            <family val="2"/>
          </rPr>
          <t>= Ok Dichtung bzw. Schutzlage bis Uk Mutter bzw. Kopfplatte
Anpassung über Betondeckung</t>
        </r>
      </text>
    </comment>
    <comment ref="B22" authorId="0" shapeId="0" xr:uid="{00000000-0006-0000-0500-00000E000000}">
      <text>
        <r>
          <rPr>
            <b/>
            <sz val="11"/>
            <color indexed="81"/>
            <rFont val="Arial"/>
            <family val="2"/>
          </rPr>
          <t xml:space="preserve">    Höhe Kopfbolzen
+ Verankerungslänge h</t>
        </r>
        <r>
          <rPr>
            <b/>
            <vertAlign val="subscript"/>
            <sz val="11"/>
            <color indexed="81"/>
            <rFont val="Arial"/>
            <family val="2"/>
          </rPr>
          <t>K,ef</t>
        </r>
        <r>
          <rPr>
            <b/>
            <sz val="11"/>
            <color indexed="81"/>
            <rFont val="Arial"/>
            <family val="2"/>
          </rPr>
          <t xml:space="preserve">
+ Dichtung/Schutzlage
+ Verankerungslänge h</t>
        </r>
        <r>
          <rPr>
            <b/>
            <vertAlign val="subscript"/>
            <sz val="11"/>
            <color indexed="81"/>
            <rFont val="Arial"/>
            <family val="2"/>
          </rPr>
          <t>T,ef</t>
        </r>
      </text>
    </comment>
    <comment ref="B23" authorId="0" shapeId="0" xr:uid="{00000000-0006-0000-0500-00000F000000}">
      <text>
        <r>
          <rPr>
            <b/>
            <sz val="11"/>
            <color indexed="81"/>
            <rFont val="Arial"/>
            <family val="2"/>
          </rPr>
          <t>Summe direkter Einwirkungen für maßgebenden Lastfall:
- Anprall Schrammbord
- Anprall FRS
- Wind auf Lärmschutzwand</t>
        </r>
      </text>
    </comment>
    <comment ref="B24" authorId="0" shapeId="0" xr:uid="{00000000-0006-0000-0500-000010000000}">
      <text>
        <r>
          <rPr>
            <b/>
            <sz val="11"/>
            <color indexed="81"/>
            <rFont val="Arial"/>
            <family val="2"/>
          </rPr>
          <t>durch Auswahl des 4. freien Feldes kann eine Einwirkung speziell definiert werden.</t>
        </r>
      </text>
    </comment>
    <comment ref="B25" authorId="0" shapeId="0" xr:uid="{00000000-0006-0000-0500-000011000000}">
      <text>
        <r>
          <rPr>
            <b/>
            <sz val="11"/>
            <color indexed="81"/>
            <rFont val="Arial"/>
            <family val="2"/>
          </rPr>
          <t>M</t>
        </r>
        <r>
          <rPr>
            <b/>
            <vertAlign val="subscript"/>
            <sz val="11"/>
            <color indexed="81"/>
            <rFont val="Arial"/>
            <family val="2"/>
          </rPr>
          <t>sd,y,direkt</t>
        </r>
        <r>
          <rPr>
            <b/>
            <sz val="11"/>
            <color indexed="81"/>
            <rFont val="Arial"/>
            <family val="2"/>
          </rPr>
          <t xml:space="preserve"> ... direkte Momenten-Einwirkung in Brückenquerrrichtung
Teilsicherheiten der direkten Einwirkungen für Bemessungsmoment :
Anprall Bord: 1,0  (siehe DIN EN 1990/NA/A1:2012-08, Tabelle NA.A2.1)
Anprall FRS: 1,25 (siehe Bemessungseinwirkungen BASt / RAL im Blatt"Direkte Einwirkungen Anprall")
Wind auf LSW / Anprall Geländer: 1,5</t>
        </r>
      </text>
    </comment>
    <comment ref="B26" authorId="0" shapeId="0" xr:uid="{00000000-0006-0000-0500-000012000000}">
      <text>
        <r>
          <rPr>
            <b/>
            <sz val="11"/>
            <color indexed="81"/>
            <rFont val="Arial"/>
            <family val="2"/>
          </rPr>
          <t>V</t>
        </r>
        <r>
          <rPr>
            <b/>
            <vertAlign val="subscript"/>
            <sz val="11"/>
            <color indexed="81"/>
            <rFont val="Arial"/>
            <family val="2"/>
          </rPr>
          <t>sd,y,direkt</t>
        </r>
        <r>
          <rPr>
            <b/>
            <sz val="11"/>
            <color indexed="81"/>
            <rFont val="Arial"/>
            <family val="2"/>
          </rPr>
          <t xml:space="preserve"> ... direkte Querkraft-Einwirkung in Brückenquerrichtung
Teilsicherheiten der direkten Einwirkungen für Bemessungsquerkraft:
Anprall Bord: 1,0  (siehe DIN EN 1990/NA/A1:2012-08, Tabelle NA.A2.1)
Anprall FRS: 1,25 (siehe Bemessungseinw. BASt / RAL in Tabelle "Einwirkungen")
Wind auf LSW / Anprall Geländer: 1,5</t>
        </r>
      </text>
    </comment>
    <comment ref="B28" authorId="0" shapeId="0" xr:uid="{00000000-0006-0000-0500-000013000000}">
      <text>
        <r>
          <rPr>
            <b/>
            <u/>
            <sz val="11"/>
            <color indexed="81"/>
            <rFont val="Arial"/>
            <family val="2"/>
          </rPr>
          <t>Summe der indirekten Einwirkungen aus:</t>
        </r>
        <r>
          <rPr>
            <b/>
            <sz val="11"/>
            <color indexed="81"/>
            <rFont val="Arial"/>
            <family val="2"/>
          </rPr>
          <t xml:space="preserve">
- Änderung konstanter Temperaturanteil aus Abfließen der Hydratationswärme
- konstanter Temperaturunterschied zwischen Bauteilen (Tag/Nacht; Sommer/Winter)
- Kriechen, Schwinden
</t>
        </r>
        <r>
          <rPr>
            <b/>
            <u/>
            <sz val="11"/>
            <color indexed="81"/>
            <rFont val="Arial"/>
            <family val="2"/>
          </rPr>
          <t>Ermittlung der indirekten Einwirkungen auf Kappen und resultierende Einwirkungen auf HCC durch:</t>
        </r>
        <r>
          <rPr>
            <b/>
            <sz val="11"/>
            <color indexed="81"/>
            <rFont val="Arial"/>
            <family val="2"/>
          </rPr>
          <t xml:space="preserve">
- Parametermodell für typische Kappengeometrien und Anordnungen HCC
- Einwirkungen in Brücken-Längs- und Querrichtung beachtet
- Dübelarten, -Abmessungen und -Anordnungen berücksichtigt
- in Abhängigkeit von Bauvorhaben, Kappengeometrie und Anschlussbewehrung/Schubschwelle 
Weitere Erläuterungen finden Sie im Tabelleblatt "Einwirkungen".
</t>
        </r>
      </text>
    </comment>
    <comment ref="F28" authorId="0" shapeId="0" xr:uid="{00000000-0006-0000-0500-000014000000}">
      <text>
        <r>
          <rPr>
            <b/>
            <sz val="11"/>
            <color indexed="81"/>
            <rFont val="Arial"/>
            <family val="2"/>
          </rPr>
          <t>Abstand in Brückenlängsrichtung 
im Mittelbereich:
M16:   ≥ 80 mm
M20:   ≥ 100 mm
M24:   ≥ 120 mm
Mittelbereich = Kappenlänge - 2 x 6 m</t>
        </r>
      </text>
    </comment>
    <comment ref="B29" authorId="0" shapeId="0" xr:uid="{00000000-0006-0000-0500-000015000000}">
      <text>
        <r>
          <rPr>
            <b/>
            <sz val="11"/>
            <color indexed="81"/>
            <rFont val="Arial"/>
            <family val="2"/>
          </rPr>
          <t>V</t>
        </r>
        <r>
          <rPr>
            <b/>
            <vertAlign val="subscript"/>
            <sz val="11"/>
            <color indexed="81"/>
            <rFont val="Arial"/>
            <family val="2"/>
          </rPr>
          <t>sd,y,indirekt</t>
        </r>
        <r>
          <rPr>
            <b/>
            <sz val="11"/>
            <color indexed="81"/>
            <rFont val="Arial"/>
            <family val="2"/>
          </rPr>
          <t xml:space="preserve"> … indirekte Querkraft-Einwirkung aus Zwang in Brückenquerrichtung im Mittelbereich</t>
        </r>
      </text>
    </comment>
    <comment ref="B30" authorId="0" shapeId="0" xr:uid="{00000000-0006-0000-0500-000016000000}">
      <text>
        <r>
          <rPr>
            <b/>
            <sz val="11"/>
            <color indexed="81"/>
            <rFont val="Arial"/>
            <family val="2"/>
          </rPr>
          <t>V</t>
        </r>
        <r>
          <rPr>
            <b/>
            <vertAlign val="subscript"/>
            <sz val="11"/>
            <color indexed="81"/>
            <rFont val="Arial"/>
            <family val="2"/>
          </rPr>
          <t>sd,x/y,indirekt</t>
        </r>
        <r>
          <rPr>
            <b/>
            <sz val="11"/>
            <color indexed="81"/>
            <rFont val="Arial"/>
            <family val="2"/>
          </rPr>
          <t xml:space="preserve"> … indirekte Querkraft-Einwirkung aus Zwang in Brückenlängs- und Brückenquerrichtung im Randbereich (6 m vor ÜKO)</t>
        </r>
      </text>
    </comment>
    <comment ref="F32" authorId="0" shapeId="0" xr:uid="{00000000-0006-0000-0500-000017000000}">
      <text>
        <r>
          <rPr>
            <b/>
            <sz val="11"/>
            <color indexed="81"/>
            <rFont val="Arial"/>
            <family val="2"/>
          </rPr>
          <t>Abstand in Brückenlängsrichtung 
im Randbereich (jeweils 6 m vor ÜKO):
M16:   ≥ 80 mm
M20:   ≥ 100 mm
M24:   ≥ 120 mm</t>
        </r>
      </text>
    </comment>
    <comment ref="B33" authorId="0" shapeId="0" xr:uid="{00000000-0006-0000-0500-000018000000}">
      <text>
        <r>
          <rPr>
            <b/>
            <sz val="11"/>
            <color indexed="81"/>
            <rFont val="Arial"/>
            <family val="2"/>
          </rPr>
          <t>Querkraftübertragung durch: 
1. Anschlussbewehrung oder Schubschwelle (RE-ING Teil 2, Abschnitt 2, Absatz 3.3.6, Ziffer (4) beachten)
2. Kappenanker HCC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Luetzow, Thomas</author>
  </authors>
  <commentList>
    <comment ref="A24" authorId="0" shapeId="0" xr:uid="{00000000-0006-0000-0C00-000001000000}">
      <text>
        <r>
          <rPr>
            <b/>
            <sz val="9"/>
            <color indexed="81"/>
            <rFont val="Tahoma"/>
            <family val="2"/>
          </rPr>
          <t>lt. ETA! Alle anderen Werte nicht zulässig! Also keine Abmind. Nach EC2 für Baustahl wie TA Hersteller</t>
        </r>
      </text>
    </comment>
    <comment ref="A27" authorId="0" shapeId="0" xr:uid="{00000000-0006-0000-0C00-000002000000}">
      <text>
        <r>
          <rPr>
            <b/>
            <sz val="9"/>
            <color indexed="81"/>
            <rFont val="Tahoma"/>
            <family val="2"/>
          </rPr>
          <t xml:space="preserve">Verbundspannung RE 500 V3=8 N/mm2
</t>
        </r>
      </text>
    </comment>
    <comment ref="L27" authorId="0" shapeId="0" xr:uid="{00000000-0006-0000-0C00-000003000000}">
      <text>
        <r>
          <rPr>
            <b/>
            <sz val="9"/>
            <color indexed="81"/>
            <rFont val="Tahoma"/>
            <family val="2"/>
          </rPr>
          <t xml:space="preserve">Verbundspannung RE 500 V3=8 N/mm2
</t>
        </r>
      </text>
    </comment>
    <comment ref="A28" authorId="0" shapeId="0" xr:uid="{00000000-0006-0000-0C00-000004000000}">
      <text>
        <r>
          <rPr>
            <b/>
            <sz val="9"/>
            <color indexed="81"/>
            <rFont val="Tahoma"/>
            <family val="2"/>
          </rPr>
          <t>fixe Werte nach Formel TR029</t>
        </r>
      </text>
    </comment>
    <comment ref="L28" authorId="0" shapeId="0" xr:uid="{00000000-0006-0000-0C00-000005000000}">
      <text>
        <r>
          <rPr>
            <b/>
            <sz val="9"/>
            <color indexed="81"/>
            <rFont val="Tahoma"/>
            <family val="2"/>
          </rPr>
          <t>fixe Werte nach Formel TR029</t>
        </r>
      </text>
    </comment>
    <comment ref="A46" authorId="0" shapeId="0" xr:uid="{00000000-0006-0000-0C00-000006000000}">
      <text>
        <r>
          <rPr>
            <b/>
            <sz val="9"/>
            <color indexed="81"/>
            <rFont val="Tahoma"/>
            <family val="2"/>
          </rPr>
          <t>keine Exzentrität, da Dübelgruppen getrenn betrachtet werden</t>
        </r>
      </text>
    </comment>
    <comment ref="L46" authorId="0" shapeId="0" xr:uid="{00000000-0006-0000-0C00-000007000000}">
      <text>
        <r>
          <rPr>
            <b/>
            <sz val="9"/>
            <color indexed="81"/>
            <rFont val="Tahoma"/>
            <family val="2"/>
          </rPr>
          <t>keine Exzentrität, da Dübelgruppen getrenn betrachtet werden</t>
        </r>
      </text>
    </comment>
    <comment ref="A49" authorId="0" shapeId="0" xr:uid="{00000000-0006-0000-0C00-000008000000}">
      <text>
        <r>
          <rPr>
            <b/>
            <sz val="9"/>
            <color indexed="81"/>
            <rFont val="Tahoma"/>
            <family val="2"/>
          </rPr>
          <t xml:space="preserve">1,5?
</t>
        </r>
      </text>
    </comment>
    <comment ref="L49" authorId="0" shapeId="0" xr:uid="{00000000-0006-0000-0C00-000009000000}">
      <text>
        <r>
          <rPr>
            <b/>
            <sz val="9"/>
            <color indexed="81"/>
            <rFont val="Tahoma"/>
            <family val="2"/>
          </rPr>
          <t xml:space="preserve">1,5?
</t>
        </r>
      </text>
    </comment>
    <comment ref="L67" authorId="0" shapeId="0" xr:uid="{00000000-0006-0000-0C00-00000A000000}">
      <text>
        <r>
          <rPr>
            <b/>
            <sz val="9"/>
            <color indexed="81"/>
            <rFont val="Tahoma"/>
            <family val="2"/>
          </rPr>
          <t>Luetzow, Thomas:</t>
        </r>
        <r>
          <rPr>
            <sz val="9"/>
            <color indexed="81"/>
            <rFont val="Tahoma"/>
            <family val="2"/>
          </rPr>
          <t xml:space="preserve">
8 mm steht für einlagige Dichtung 4mm + Schutzlage 4 mm</t>
        </r>
      </text>
    </comment>
    <comment ref="A71" authorId="0" shapeId="0" xr:uid="{00000000-0006-0000-0C00-00000B000000}">
      <text>
        <r>
          <rPr>
            <b/>
            <sz val="9"/>
            <color indexed="81"/>
            <rFont val="Tahoma"/>
            <family val="2"/>
          </rPr>
          <t>Luetzow, Thomas:</t>
        </r>
        <r>
          <rPr>
            <sz val="9"/>
            <color indexed="81"/>
            <rFont val="Tahoma"/>
            <family val="2"/>
          </rPr>
          <t xml:space="preserve">
K-Faktor bei hef &gt; 90 auf 2,5 erhöht - siehe Eligehausen bzw. ETA HST</t>
        </r>
      </text>
    </comment>
    <comment ref="L71" authorId="0" shapeId="0" xr:uid="{00000000-0006-0000-0C00-00000C000000}">
      <text>
        <r>
          <rPr>
            <b/>
            <sz val="9"/>
            <color indexed="81"/>
            <rFont val="Tahoma"/>
            <family val="2"/>
          </rPr>
          <t>Luetzow, Thomas:</t>
        </r>
        <r>
          <rPr>
            <sz val="9"/>
            <color indexed="81"/>
            <rFont val="Tahoma"/>
            <family val="2"/>
          </rPr>
          <t xml:space="preserve">
K-Faktor bei hef &gt; 90 auf 2,5 erhöht - siehe Eligehausen bzw. ETA HST</t>
        </r>
      </text>
    </comment>
    <comment ref="B73" authorId="0" shapeId="0" xr:uid="{00000000-0006-0000-0C00-00000D000000}">
      <text>
        <r>
          <rPr>
            <b/>
            <sz val="9"/>
            <color indexed="81"/>
            <rFont val="Tahoma"/>
            <family val="2"/>
          </rPr>
          <t xml:space="preserve">Gamma c nach Art der Einwirkung: 1,3 oder 1,5
</t>
        </r>
      </text>
    </comment>
    <comment ref="G73" authorId="0" shapeId="0" xr:uid="{00000000-0006-0000-0C00-00000E000000}">
      <text>
        <r>
          <rPr>
            <b/>
            <sz val="9"/>
            <color indexed="81"/>
            <rFont val="Tahoma"/>
            <family val="2"/>
          </rPr>
          <t>Gamma c nach Art der Einwirkung: 1,3 oder 1,5</t>
        </r>
      </text>
    </comment>
    <comment ref="M73" authorId="0" shapeId="0" xr:uid="{00000000-0006-0000-0C00-00000F000000}">
      <text>
        <r>
          <rPr>
            <b/>
            <sz val="9"/>
            <color indexed="81"/>
            <rFont val="Tahoma"/>
            <family val="2"/>
          </rPr>
          <t xml:space="preserve">Gamma c nach Art der Einwirkung: 1,3 oder 1,5
</t>
        </r>
      </text>
    </comment>
    <comment ref="R73" authorId="0" shapeId="0" xr:uid="{00000000-0006-0000-0C00-000010000000}">
      <text>
        <r>
          <rPr>
            <b/>
            <sz val="9"/>
            <color indexed="81"/>
            <rFont val="Tahoma"/>
            <family val="2"/>
          </rPr>
          <t>Gamma c nach Art der Einwirkung: 1,3 oder 1,5</t>
        </r>
      </text>
    </comment>
    <comment ref="A75" authorId="0" shapeId="0" xr:uid="{00000000-0006-0000-0C00-000011000000}">
      <text>
        <r>
          <rPr>
            <b/>
            <sz val="9"/>
            <color indexed="81"/>
            <rFont val="Tahoma"/>
            <family val="2"/>
          </rPr>
          <t>Luetzow, Thomas:</t>
        </r>
        <r>
          <rPr>
            <sz val="9"/>
            <color indexed="81"/>
            <rFont val="Tahoma"/>
            <family val="2"/>
          </rPr>
          <t xml:space="preserve">
c1; 
c'   - Sonderfall für schmalen, dünnen Bauteile</t>
        </r>
      </text>
    </comment>
    <comment ref="L75" authorId="0" shapeId="0" xr:uid="{00000000-0006-0000-0C00-000012000000}">
      <text>
        <r>
          <rPr>
            <b/>
            <sz val="9"/>
            <color indexed="81"/>
            <rFont val="Tahoma"/>
            <family val="2"/>
          </rPr>
          <t>Luetzow, Thomas:</t>
        </r>
        <r>
          <rPr>
            <sz val="9"/>
            <color indexed="81"/>
            <rFont val="Tahoma"/>
            <family val="2"/>
          </rPr>
          <t xml:space="preserve">
c1; 
c'   - Sonderfall für schmalen, dünnen Bauteile</t>
        </r>
      </text>
    </comment>
    <comment ref="A80" authorId="0" shapeId="0" xr:uid="{00000000-0006-0000-0C00-000013000000}">
      <text>
        <r>
          <rPr>
            <b/>
            <sz val="9"/>
            <color indexed="81"/>
            <rFont val="Tahoma"/>
            <family val="2"/>
          </rPr>
          <t>Beachtung des Achabstandes längs ist nicht notwendig, das die V-Einwirkung durch nahe Dübel eher besser verteilt wird und somit Betonausbruch nicht erfolgen kann!</t>
        </r>
      </text>
    </comment>
    <comment ref="L80" authorId="0" shapeId="0" xr:uid="{00000000-0006-0000-0C00-000014000000}">
      <text>
        <r>
          <rPr>
            <b/>
            <sz val="9"/>
            <color indexed="81"/>
            <rFont val="Tahoma"/>
            <family val="2"/>
          </rPr>
          <t>Beachtung des Achabstandes längs ist nicht notwendig, das die V-Einwirkung durch nahe Dübel eher besser verteilt wird und somit Betonausbruch nicht erfolgen kann!</t>
        </r>
      </text>
    </comment>
    <comment ref="A81" authorId="0" shapeId="0" xr:uid="{00000000-0006-0000-0C00-000015000000}">
      <text>
        <r>
          <rPr>
            <b/>
            <sz val="9"/>
            <color indexed="81"/>
            <rFont val="Tahoma"/>
            <family val="2"/>
          </rPr>
          <t xml:space="preserve">weil kein 2. Bauteilrand
</t>
        </r>
      </text>
    </comment>
    <comment ref="L81" authorId="0" shapeId="0" xr:uid="{00000000-0006-0000-0C00-000016000000}">
      <text>
        <r>
          <rPr>
            <b/>
            <sz val="9"/>
            <color indexed="81"/>
            <rFont val="Tahoma"/>
            <family val="2"/>
          </rPr>
          <t xml:space="preserve">weil kein 2. Bauteilrand
</t>
        </r>
      </text>
    </comment>
    <comment ref="A84" authorId="0" shapeId="0" xr:uid="{00000000-0006-0000-0C00-000017000000}">
      <text>
        <r>
          <rPr>
            <b/>
            <sz val="9"/>
            <color indexed="81"/>
            <rFont val="Tahoma"/>
            <family val="2"/>
          </rPr>
          <t xml:space="preserve">keine Exzentrizität
</t>
        </r>
      </text>
    </comment>
    <comment ref="L84" authorId="0" shapeId="0" xr:uid="{00000000-0006-0000-0C00-000018000000}">
      <text>
        <r>
          <rPr>
            <b/>
            <sz val="9"/>
            <color indexed="81"/>
            <rFont val="Tahoma"/>
            <family val="2"/>
          </rPr>
          <t xml:space="preserve">keine Exzentrizität
</t>
        </r>
      </text>
    </comment>
    <comment ref="B85" authorId="0" shapeId="0" xr:uid="{00000000-0006-0000-0C00-000019000000}">
      <text>
        <r>
          <rPr>
            <b/>
            <sz val="9"/>
            <color indexed="81"/>
            <rFont val="Tahoma"/>
            <family val="2"/>
          </rPr>
          <t>1,2 für d&gt;=12 mm am Rand des Überbaus ist immer vorhanden
ansonsten Quervorsp. Vorhanden!</t>
        </r>
      </text>
    </comment>
    <comment ref="M85" authorId="0" shapeId="0" xr:uid="{00000000-0006-0000-0C00-00001A000000}">
      <text>
        <r>
          <rPr>
            <b/>
            <sz val="9"/>
            <color indexed="81"/>
            <rFont val="Tahoma"/>
            <family val="2"/>
          </rPr>
          <t>1,2 für d&gt;=12 mm am Rand des Überbaus ist immer vorhanden
ansonsten Quervorsp. Vorhanden!</t>
        </r>
      </text>
    </comment>
    <comment ref="A98" authorId="0" shapeId="0" xr:uid="{00000000-0006-0000-0C00-00001B000000}">
      <text>
        <r>
          <rPr>
            <b/>
            <sz val="9"/>
            <color indexed="81"/>
            <rFont val="Tahoma"/>
            <family val="2"/>
          </rPr>
          <t>alpha kann nie 2 sein, da Stahl auf Zug nie maßgebend!</t>
        </r>
      </text>
    </comment>
    <comment ref="L98" authorId="0" shapeId="0" xr:uid="{00000000-0006-0000-0C00-00001C000000}">
      <text>
        <r>
          <rPr>
            <b/>
            <sz val="9"/>
            <color indexed="81"/>
            <rFont val="Tahoma"/>
            <family val="2"/>
          </rPr>
          <t>alpha kann nie 2 sein, da Stahl auf Zug nie maßgebend!</t>
        </r>
      </text>
    </comment>
    <comment ref="A99" authorId="0" shapeId="0" xr:uid="{00000000-0006-0000-0C00-00001D000000}">
      <text>
        <r>
          <rPr>
            <b/>
            <sz val="9"/>
            <color indexed="81"/>
            <rFont val="Tahoma"/>
            <family val="2"/>
          </rPr>
          <t>V=0 kommt vor, wenn keine indirekten Einw. und Anschlussbew. Vorhanden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Luetzow, Thomas</author>
  </authors>
  <commentList>
    <comment ref="B23" authorId="0" shapeId="0" xr:uid="{00000000-0006-0000-0D00-000001000000}">
      <text>
        <r>
          <rPr>
            <b/>
            <sz val="9"/>
            <color indexed="81"/>
            <rFont val="Tahoma"/>
            <family val="2"/>
          </rPr>
          <t>Luetzow, Thomas:</t>
        </r>
        <r>
          <rPr>
            <sz val="9"/>
            <color indexed="81"/>
            <rFont val="Tahoma"/>
            <family val="2"/>
          </rPr>
          <t xml:space="preserve">
1,3 oder 1,5</t>
        </r>
      </text>
    </comment>
    <comment ref="G23" authorId="0" shapeId="0" xr:uid="{00000000-0006-0000-0D00-000002000000}">
      <text>
        <r>
          <rPr>
            <b/>
            <sz val="9"/>
            <color indexed="81"/>
            <rFont val="Tahoma"/>
            <family val="2"/>
          </rPr>
          <t>Luetzow, Thomas:</t>
        </r>
        <r>
          <rPr>
            <sz val="9"/>
            <color indexed="81"/>
            <rFont val="Tahoma"/>
            <family val="2"/>
          </rPr>
          <t xml:space="preserve">
1,3 oder 1,5</t>
        </r>
      </text>
    </comment>
    <comment ref="L23" authorId="0" shapeId="0" xr:uid="{00000000-0006-0000-0D00-000003000000}">
      <text>
        <r>
          <rPr>
            <b/>
            <sz val="9"/>
            <color indexed="81"/>
            <rFont val="Tahoma"/>
            <family val="2"/>
          </rPr>
          <t>Luetzow, Thomas:</t>
        </r>
        <r>
          <rPr>
            <sz val="9"/>
            <color indexed="81"/>
            <rFont val="Tahoma"/>
            <family val="2"/>
          </rPr>
          <t xml:space="preserve">
1,3 oder 1,5</t>
        </r>
      </text>
    </comment>
    <comment ref="Q23" authorId="0" shapeId="0" xr:uid="{00000000-0006-0000-0D00-000004000000}">
      <text>
        <r>
          <rPr>
            <b/>
            <sz val="9"/>
            <color indexed="81"/>
            <rFont val="Tahoma"/>
            <family val="2"/>
          </rPr>
          <t>Luetzow, Thomas:</t>
        </r>
        <r>
          <rPr>
            <sz val="9"/>
            <color indexed="81"/>
            <rFont val="Tahoma"/>
            <family val="2"/>
          </rPr>
          <t xml:space="preserve">
1,3 oder 1,5</t>
        </r>
      </text>
    </comment>
    <comment ref="A29" authorId="0" shapeId="0" xr:uid="{00000000-0006-0000-0D00-000005000000}">
      <text>
        <r>
          <rPr>
            <b/>
            <sz val="9"/>
            <color indexed="81"/>
            <rFont val="Tahoma"/>
            <family val="2"/>
          </rPr>
          <t>Luetzow, Thomas:</t>
        </r>
        <r>
          <rPr>
            <sz val="9"/>
            <color indexed="81"/>
            <rFont val="Tahoma"/>
            <family val="2"/>
          </rPr>
          <t xml:space="preserve">
Fläche wird bereits mit Fläche Mutter berechnet; statt Mutter könnte Kopfplatte eingesetzt werden. Dadurch noch größer Ausbruchfläche möglich!
</t>
        </r>
      </text>
    </comment>
    <comment ref="F29" authorId="0" shapeId="0" xr:uid="{00000000-0006-0000-0D00-000006000000}">
      <text>
        <r>
          <rPr>
            <b/>
            <sz val="9"/>
            <color indexed="81"/>
            <rFont val="Tahoma"/>
            <family val="2"/>
          </rPr>
          <t>Luetzow, Thomas:</t>
        </r>
        <r>
          <rPr>
            <sz val="9"/>
            <color indexed="81"/>
            <rFont val="Tahoma"/>
            <family val="2"/>
          </rPr>
          <t xml:space="preserve">
Fläche wird bereits mit Fläche Mutter berechnet; statt Mutter könnte Kopfplatte eingesetzt werden. Dadurch noch größer Ausbruchfläche möglich!</t>
        </r>
      </text>
    </comment>
    <comment ref="K29" authorId="0" shapeId="0" xr:uid="{00000000-0006-0000-0D00-000007000000}">
      <text>
        <r>
          <rPr>
            <b/>
            <sz val="9"/>
            <color indexed="81"/>
            <rFont val="Tahoma"/>
            <family val="2"/>
          </rPr>
          <t>Luetzow, Thomas:</t>
        </r>
        <r>
          <rPr>
            <sz val="9"/>
            <color indexed="81"/>
            <rFont val="Tahoma"/>
            <family val="2"/>
          </rPr>
          <t xml:space="preserve">
Fläche wird bereits mit Fläche Mutter berechnet; statt Mutter könnte Kopfplatte eingesetzt werden. Dadurch noch größer Ausbruchfläche möglich!
</t>
        </r>
      </text>
    </comment>
    <comment ref="P29" authorId="0" shapeId="0" xr:uid="{00000000-0006-0000-0D00-000008000000}">
      <text>
        <r>
          <rPr>
            <b/>
            <sz val="9"/>
            <color indexed="81"/>
            <rFont val="Tahoma"/>
            <family val="2"/>
          </rPr>
          <t>Luetzow, Thomas:</t>
        </r>
        <r>
          <rPr>
            <sz val="9"/>
            <color indexed="81"/>
            <rFont val="Tahoma"/>
            <family val="2"/>
          </rPr>
          <t xml:space="preserve">
Fläche wird bereits mit Fläche Mutter berechnet; statt Mutter könnte Kopfplatte eingesetzt werden. Dadurch noch größer Ausbruchfläche möglich!</t>
        </r>
      </text>
    </comment>
    <comment ref="A31" authorId="0" shapeId="0" xr:uid="{00000000-0006-0000-0D00-000009000000}">
      <text>
        <r>
          <rPr>
            <b/>
            <sz val="9"/>
            <color indexed="81"/>
            <rFont val="Tahoma"/>
            <family val="2"/>
          </rPr>
          <t>Luetzow, Thomas:</t>
        </r>
        <r>
          <rPr>
            <sz val="9"/>
            <color indexed="81"/>
            <rFont val="Tahoma"/>
            <family val="2"/>
          </rPr>
          <t xml:space="preserve">
müßte bei hef kleiner 100 mm = 0,5+hef/200 sein!! Wegen WBW nicht berücksichtigt</t>
        </r>
      </text>
    </comment>
    <comment ref="F31" authorId="0" shapeId="0" xr:uid="{00000000-0006-0000-0D00-00000A000000}">
      <text>
        <r>
          <rPr>
            <b/>
            <sz val="9"/>
            <color indexed="81"/>
            <rFont val="Tahoma"/>
            <family val="2"/>
          </rPr>
          <t>Luetzow, Thomas:</t>
        </r>
        <r>
          <rPr>
            <sz val="9"/>
            <color indexed="81"/>
            <rFont val="Tahoma"/>
            <family val="2"/>
          </rPr>
          <t xml:space="preserve">
müßte bei hef kleiner 100 mm = 0,5+hef/200 sein!! Wegen WBW nicht berücksichtigt</t>
        </r>
      </text>
    </comment>
    <comment ref="K31" authorId="0" shapeId="0" xr:uid="{00000000-0006-0000-0D00-00000B000000}">
      <text>
        <r>
          <rPr>
            <b/>
            <sz val="9"/>
            <color indexed="81"/>
            <rFont val="Tahoma"/>
            <family val="2"/>
          </rPr>
          <t>Luetzow, Thomas:</t>
        </r>
        <r>
          <rPr>
            <sz val="9"/>
            <color indexed="81"/>
            <rFont val="Tahoma"/>
            <family val="2"/>
          </rPr>
          <t xml:space="preserve">
müßte bei hef kleiner 100 mm = 0,5+hef/200 sein!! Wegen WBW nicht berücksichtigt</t>
        </r>
      </text>
    </comment>
    <comment ref="P31" authorId="0" shapeId="0" xr:uid="{00000000-0006-0000-0D00-00000C000000}">
      <text>
        <r>
          <rPr>
            <b/>
            <sz val="9"/>
            <color indexed="81"/>
            <rFont val="Tahoma"/>
            <family val="2"/>
          </rPr>
          <t>Luetzow, Thomas:</t>
        </r>
        <r>
          <rPr>
            <sz val="9"/>
            <color indexed="81"/>
            <rFont val="Tahoma"/>
            <family val="2"/>
          </rPr>
          <t xml:space="preserve">
müßte bei hef kleiner 100 mm = 0,5+hef/200 sein!! Wegen WBW nicht berücksichtigt</t>
        </r>
      </text>
    </comment>
    <comment ref="A32" authorId="0" shapeId="0" xr:uid="{00000000-0006-0000-0D00-00000D000000}">
      <text>
        <r>
          <rPr>
            <b/>
            <sz val="9"/>
            <color indexed="81"/>
            <rFont val="Tahoma"/>
            <family val="2"/>
          </rPr>
          <t>Luetzow, Thomas:</t>
        </r>
        <r>
          <rPr>
            <sz val="9"/>
            <color indexed="81"/>
            <rFont val="Tahoma"/>
            <family val="2"/>
          </rPr>
          <t xml:space="preserve">
keine Exzentrizität da Dübelgruppen getrennt voneinander betrachtet</t>
        </r>
      </text>
    </comment>
    <comment ref="F32" authorId="0" shapeId="0" xr:uid="{00000000-0006-0000-0D00-00000E000000}">
      <text>
        <r>
          <rPr>
            <b/>
            <sz val="9"/>
            <color indexed="81"/>
            <rFont val="Tahoma"/>
            <family val="2"/>
          </rPr>
          <t>Luetzow, Thomas:</t>
        </r>
        <r>
          <rPr>
            <sz val="9"/>
            <color indexed="81"/>
            <rFont val="Tahoma"/>
            <family val="2"/>
          </rPr>
          <t xml:space="preserve">
keine Exzentrizität da Dübelgruppen getrennt voneinander betrachtet</t>
        </r>
      </text>
    </comment>
    <comment ref="K32" authorId="0" shapeId="0" xr:uid="{00000000-0006-0000-0D00-00000F000000}">
      <text>
        <r>
          <rPr>
            <b/>
            <sz val="9"/>
            <color indexed="81"/>
            <rFont val="Tahoma"/>
            <family val="2"/>
          </rPr>
          <t>Luetzow, Thomas:</t>
        </r>
        <r>
          <rPr>
            <sz val="9"/>
            <color indexed="81"/>
            <rFont val="Tahoma"/>
            <family val="2"/>
          </rPr>
          <t xml:space="preserve">
keine Exzentrizität da Dübelgruppen getrennt voneinander betrachtet</t>
        </r>
      </text>
    </comment>
    <comment ref="P32" authorId="0" shapeId="0" xr:uid="{00000000-0006-0000-0D00-000010000000}">
      <text>
        <r>
          <rPr>
            <b/>
            <sz val="9"/>
            <color indexed="81"/>
            <rFont val="Tahoma"/>
            <family val="2"/>
          </rPr>
          <t>Luetzow, Thomas:</t>
        </r>
        <r>
          <rPr>
            <sz val="9"/>
            <color indexed="81"/>
            <rFont val="Tahoma"/>
            <family val="2"/>
          </rPr>
          <t xml:space="preserve">
keine Exzentrizität da Dübelgruppen getrennt voneinander betrachtet</t>
        </r>
      </text>
    </comment>
    <comment ref="B35" authorId="0" shapeId="0" xr:uid="{00000000-0006-0000-0D00-000011000000}">
      <text>
        <r>
          <rPr>
            <b/>
            <sz val="9"/>
            <color indexed="81"/>
            <rFont val="Tahoma"/>
            <family val="2"/>
          </rPr>
          <t>Luetzow, Thomas:</t>
        </r>
        <r>
          <rPr>
            <sz val="9"/>
            <color indexed="81"/>
            <rFont val="Tahoma"/>
            <family val="2"/>
          </rPr>
          <t xml:space="preserve">
1,3 oder 1,5</t>
        </r>
      </text>
    </comment>
    <comment ref="G35" authorId="0" shapeId="0" xr:uid="{00000000-0006-0000-0D00-000012000000}">
      <text>
        <r>
          <rPr>
            <b/>
            <sz val="9"/>
            <color indexed="81"/>
            <rFont val="Tahoma"/>
            <family val="2"/>
          </rPr>
          <t>Luetzow, Thomas:</t>
        </r>
        <r>
          <rPr>
            <sz val="9"/>
            <color indexed="81"/>
            <rFont val="Tahoma"/>
            <family val="2"/>
          </rPr>
          <t xml:space="preserve">
1,3 oder 1,5</t>
        </r>
      </text>
    </comment>
    <comment ref="L35" authorId="0" shapeId="0" xr:uid="{00000000-0006-0000-0D00-000013000000}">
      <text>
        <r>
          <rPr>
            <b/>
            <sz val="9"/>
            <color indexed="81"/>
            <rFont val="Tahoma"/>
            <family val="2"/>
          </rPr>
          <t>Luetzow, Thomas:</t>
        </r>
        <r>
          <rPr>
            <sz val="9"/>
            <color indexed="81"/>
            <rFont val="Tahoma"/>
            <family val="2"/>
          </rPr>
          <t xml:space="preserve">
1,3 oder 1,5</t>
        </r>
      </text>
    </comment>
    <comment ref="Q35" authorId="0" shapeId="0" xr:uid="{00000000-0006-0000-0D00-000014000000}">
      <text>
        <r>
          <rPr>
            <b/>
            <sz val="9"/>
            <color indexed="81"/>
            <rFont val="Tahoma"/>
            <family val="2"/>
          </rPr>
          <t>Luetzow, Thomas:</t>
        </r>
        <r>
          <rPr>
            <sz val="9"/>
            <color indexed="81"/>
            <rFont val="Tahoma"/>
            <family val="2"/>
          </rPr>
          <t xml:space="preserve">
1,3 oder 1,5</t>
        </r>
      </text>
    </comment>
    <comment ref="B49" authorId="0" shapeId="0" xr:uid="{00000000-0006-0000-0D00-000015000000}">
      <text>
        <r>
          <rPr>
            <b/>
            <sz val="9"/>
            <color indexed="81"/>
            <rFont val="Tahoma"/>
            <family val="2"/>
          </rPr>
          <t>Luetzow, Thomas:</t>
        </r>
        <r>
          <rPr>
            <sz val="9"/>
            <color indexed="81"/>
            <rFont val="Tahoma"/>
            <family val="2"/>
          </rPr>
          <t xml:space="preserve">
1,3 oder 1,5</t>
        </r>
      </text>
    </comment>
    <comment ref="G49" authorId="0" shapeId="0" xr:uid="{00000000-0006-0000-0D00-000016000000}">
      <text>
        <r>
          <rPr>
            <b/>
            <sz val="9"/>
            <color indexed="81"/>
            <rFont val="Tahoma"/>
            <family val="2"/>
          </rPr>
          <t>Luetzow, Thomas:</t>
        </r>
        <r>
          <rPr>
            <sz val="9"/>
            <color indexed="81"/>
            <rFont val="Tahoma"/>
            <family val="2"/>
          </rPr>
          <t xml:space="preserve">
1,3 oder 1,5</t>
        </r>
      </text>
    </comment>
    <comment ref="A60" authorId="0" shapeId="0" xr:uid="{00000000-0006-0000-0D00-000017000000}">
      <text>
        <r>
          <rPr>
            <b/>
            <sz val="9"/>
            <color indexed="81"/>
            <rFont val="Tahoma"/>
            <family val="2"/>
          </rPr>
          <t>Luetzow, Thomas:</t>
        </r>
        <r>
          <rPr>
            <sz val="9"/>
            <color indexed="81"/>
            <rFont val="Tahoma"/>
            <family val="2"/>
          </rPr>
          <t xml:space="preserve">
8 mm steht für einlagige Dichtung 4mm + Schutzlage 4 mm; + halben Dübeldurchmesser</t>
        </r>
      </text>
    </comment>
    <comment ref="F60" authorId="0" shapeId="0" xr:uid="{00000000-0006-0000-0D00-000018000000}">
      <text>
        <r>
          <rPr>
            <b/>
            <sz val="9"/>
            <color indexed="81"/>
            <rFont val="Tahoma"/>
            <family val="2"/>
          </rPr>
          <t>Luetzow, Thomas:</t>
        </r>
        <r>
          <rPr>
            <sz val="9"/>
            <color indexed="81"/>
            <rFont val="Tahoma"/>
            <family val="2"/>
          </rPr>
          <t xml:space="preserve">
8 mm steht für einlagige Dichtung 4mm + Schutzlage 4 mm; + halben Dübeldurchmesser
</t>
        </r>
      </text>
    </comment>
    <comment ref="K60" authorId="0" shapeId="0" xr:uid="{00000000-0006-0000-0D00-000019000000}">
      <text>
        <r>
          <rPr>
            <b/>
            <sz val="9"/>
            <color indexed="81"/>
            <rFont val="Tahoma"/>
            <family val="2"/>
          </rPr>
          <t>Luetzow, Thomas:</t>
        </r>
        <r>
          <rPr>
            <sz val="9"/>
            <color indexed="81"/>
            <rFont val="Tahoma"/>
            <family val="2"/>
          </rPr>
          <t xml:space="preserve">
8 mm steht für einlagige Dichtung 4mm + Schutzlage 4 mm; + halben Dübeldurchmesser</t>
        </r>
      </text>
    </comment>
    <comment ref="P60" authorId="0" shapeId="0" xr:uid="{00000000-0006-0000-0D00-00001A000000}">
      <text>
        <r>
          <rPr>
            <b/>
            <sz val="9"/>
            <color indexed="81"/>
            <rFont val="Tahoma"/>
            <family val="2"/>
          </rPr>
          <t>Luetzow, Thomas:</t>
        </r>
        <r>
          <rPr>
            <sz val="9"/>
            <color indexed="81"/>
            <rFont val="Tahoma"/>
            <family val="2"/>
          </rPr>
          <t xml:space="preserve">
8 mm steht für einlagige Dichtung 4mm + Schutzlage 4 mm; + halben Dübeldurchmesser
</t>
        </r>
      </text>
    </comment>
    <comment ref="A64" authorId="0" shapeId="0" xr:uid="{00000000-0006-0000-0D00-00001B000000}">
      <text>
        <r>
          <rPr>
            <b/>
            <sz val="9"/>
            <color indexed="81"/>
            <rFont val="Tahoma"/>
            <family val="2"/>
          </rPr>
          <t>Luetzow, Thomas:</t>
        </r>
        <r>
          <rPr>
            <sz val="9"/>
            <color indexed="81"/>
            <rFont val="Tahoma"/>
            <family val="2"/>
          </rPr>
          <t xml:space="preserve">
K-Faktor könnte bei hef &gt; 90 auf 2,5 erhöht werden - siehe Eligehausen bzw. ETA HAST
</t>
        </r>
      </text>
    </comment>
    <comment ref="F64" authorId="0" shapeId="0" xr:uid="{00000000-0006-0000-0D00-00001C000000}">
      <text>
        <r>
          <rPr>
            <b/>
            <sz val="9"/>
            <color indexed="81"/>
            <rFont val="Tahoma"/>
            <family val="2"/>
          </rPr>
          <t>Luetzow, Thomas:</t>
        </r>
        <r>
          <rPr>
            <sz val="9"/>
            <color indexed="81"/>
            <rFont val="Tahoma"/>
            <family val="2"/>
          </rPr>
          <t xml:space="preserve">
K-Faktor könnte bei hef &gt; 90 auf 2,5 erhöht werden - siehe Eligehausen bzw. ETA HST</t>
        </r>
      </text>
    </comment>
    <comment ref="K64" authorId="0" shapeId="0" xr:uid="{00000000-0006-0000-0D00-00001D000000}">
      <text>
        <r>
          <rPr>
            <b/>
            <sz val="9"/>
            <color indexed="81"/>
            <rFont val="Tahoma"/>
            <family val="2"/>
          </rPr>
          <t>Luetzow, Thomas:</t>
        </r>
        <r>
          <rPr>
            <sz val="9"/>
            <color indexed="81"/>
            <rFont val="Tahoma"/>
            <family val="2"/>
          </rPr>
          <t xml:space="preserve">
K-Faktor könnte bei hef &gt; 90 auf 2,5 erhöht werden - siehe Eligehausen bzw. ETA HAST
</t>
        </r>
      </text>
    </comment>
    <comment ref="P64" authorId="0" shapeId="0" xr:uid="{00000000-0006-0000-0D00-00001E000000}">
      <text>
        <r>
          <rPr>
            <b/>
            <sz val="9"/>
            <color indexed="81"/>
            <rFont val="Tahoma"/>
            <family val="2"/>
          </rPr>
          <t>Luetzow, Thomas:</t>
        </r>
        <r>
          <rPr>
            <sz val="9"/>
            <color indexed="81"/>
            <rFont val="Tahoma"/>
            <family val="2"/>
          </rPr>
          <t xml:space="preserve">
K-Faktor könnte bei hef &gt; 90 auf 2,5 erhöht werden - siehe Eligehausen bzw. ETA HST</t>
        </r>
      </text>
    </comment>
    <comment ref="A66" authorId="0" shapeId="0" xr:uid="{00000000-0006-0000-0D00-00001F000000}">
      <text>
        <r>
          <rPr>
            <b/>
            <sz val="9"/>
            <color indexed="81"/>
            <rFont val="Tahoma"/>
            <family val="2"/>
          </rPr>
          <t>Luetzow, Thomas:</t>
        </r>
        <r>
          <rPr>
            <sz val="9"/>
            <color indexed="81"/>
            <rFont val="Tahoma"/>
            <family val="2"/>
          </rPr>
          <t xml:space="preserve">
1,3 oder 1,5</t>
        </r>
      </text>
    </comment>
    <comment ref="F66" authorId="0" shapeId="0" xr:uid="{00000000-0006-0000-0D00-000020000000}">
      <text>
        <r>
          <rPr>
            <b/>
            <sz val="9"/>
            <color indexed="81"/>
            <rFont val="Tahoma"/>
            <family val="2"/>
          </rPr>
          <t>Luetzow, Thomas:</t>
        </r>
        <r>
          <rPr>
            <sz val="9"/>
            <color indexed="81"/>
            <rFont val="Tahoma"/>
            <family val="2"/>
          </rPr>
          <t xml:space="preserve">
1,3 oder 1,5
</t>
        </r>
      </text>
    </comment>
    <comment ref="K66" authorId="0" shapeId="0" xr:uid="{00000000-0006-0000-0D00-000021000000}">
      <text>
        <r>
          <rPr>
            <b/>
            <sz val="9"/>
            <color indexed="81"/>
            <rFont val="Tahoma"/>
            <family val="2"/>
          </rPr>
          <t>Luetzow, Thomas:</t>
        </r>
        <r>
          <rPr>
            <sz val="9"/>
            <color indexed="81"/>
            <rFont val="Tahoma"/>
            <family val="2"/>
          </rPr>
          <t xml:space="preserve">
1,3 oder 1,5</t>
        </r>
      </text>
    </comment>
    <comment ref="P66" authorId="0" shapeId="0" xr:uid="{00000000-0006-0000-0D00-000022000000}">
      <text>
        <r>
          <rPr>
            <b/>
            <sz val="9"/>
            <color indexed="81"/>
            <rFont val="Tahoma"/>
            <family val="2"/>
          </rPr>
          <t>Luetzow, Thomas:</t>
        </r>
        <r>
          <rPr>
            <sz val="9"/>
            <color indexed="81"/>
            <rFont val="Tahoma"/>
            <family val="2"/>
          </rPr>
          <t xml:space="preserve">
1,3 oder 1,5
</t>
        </r>
      </text>
    </comment>
    <comment ref="A70" authorId="0" shapeId="0" xr:uid="{00000000-0006-0000-0D00-000023000000}">
      <text>
        <r>
          <rPr>
            <b/>
            <sz val="9"/>
            <color indexed="81"/>
            <rFont val="Tahoma"/>
            <family val="2"/>
          </rPr>
          <t>Luetzow, Thomas:</t>
        </r>
        <r>
          <rPr>
            <sz val="9"/>
            <color indexed="81"/>
            <rFont val="Tahoma"/>
            <family val="2"/>
          </rPr>
          <t xml:space="preserve">
Im einbetonierten Bereich dnom = dSchaft gewählt !!!
</t>
        </r>
      </text>
    </comment>
    <comment ref="F70" authorId="0" shapeId="0" xr:uid="{00000000-0006-0000-0D00-000024000000}">
      <text>
        <r>
          <rPr>
            <b/>
            <sz val="9"/>
            <color indexed="81"/>
            <rFont val="Tahoma"/>
            <family val="2"/>
          </rPr>
          <t>Luetzow, Thomas:</t>
        </r>
        <r>
          <rPr>
            <sz val="9"/>
            <color indexed="81"/>
            <rFont val="Tahoma"/>
            <family val="2"/>
          </rPr>
          <t xml:space="preserve">
Im einbetonierten Bereich dnom = dSchaft gewählt !!!</t>
        </r>
      </text>
    </comment>
    <comment ref="A74" authorId="0" shapeId="0" xr:uid="{00000000-0006-0000-0D00-000025000000}">
      <text>
        <r>
          <rPr>
            <b/>
            <sz val="9"/>
            <color indexed="81"/>
            <rFont val="Tahoma"/>
            <family val="2"/>
          </rPr>
          <t>Luetzow, Thomas:</t>
        </r>
        <r>
          <rPr>
            <sz val="9"/>
            <color indexed="81"/>
            <rFont val="Tahoma"/>
            <family val="2"/>
          </rPr>
          <t xml:space="preserve">
weil kein 2. Bauteilrand</t>
        </r>
      </text>
    </comment>
    <comment ref="F74" authorId="0" shapeId="0" xr:uid="{00000000-0006-0000-0D00-000026000000}">
      <text>
        <r>
          <rPr>
            <b/>
            <sz val="9"/>
            <color indexed="81"/>
            <rFont val="Tahoma"/>
            <family val="2"/>
          </rPr>
          <t>Luetzow, Thomas:</t>
        </r>
        <r>
          <rPr>
            <sz val="9"/>
            <color indexed="81"/>
            <rFont val="Tahoma"/>
            <family val="2"/>
          </rPr>
          <t xml:space="preserve">
weil kein 2. Bauteilrand</t>
        </r>
      </text>
    </comment>
    <comment ref="B78" authorId="0" shapeId="0" xr:uid="{00000000-0006-0000-0D00-000027000000}">
      <text>
        <r>
          <rPr>
            <b/>
            <sz val="9"/>
            <color indexed="81"/>
            <rFont val="Tahoma"/>
            <family val="2"/>
          </rPr>
          <t>weil Längsbew. Kappe min. D=10 mm beträgt. Wäre es 12 mm, dann könnte man auf 1,2 gehen.</t>
        </r>
      </text>
    </comment>
    <comment ref="A91" authorId="0" shapeId="0" xr:uid="{00000000-0006-0000-0D00-000028000000}">
      <text>
        <r>
          <rPr>
            <b/>
            <sz val="9"/>
            <color indexed="81"/>
            <rFont val="Tahoma"/>
            <family val="2"/>
          </rPr>
          <t xml:space="preserve">alpha kann nicht 2 werden, da nie Stahl Zug maßgebend!
</t>
        </r>
      </text>
    </comment>
    <comment ref="K91" authorId="0" shapeId="0" xr:uid="{00000000-0006-0000-0D00-000029000000}">
      <text>
        <r>
          <rPr>
            <b/>
            <sz val="9"/>
            <color indexed="81"/>
            <rFont val="Tahoma"/>
            <family val="2"/>
          </rPr>
          <t xml:space="preserve">alpha kann nicht 2 werden, da nie Stahl Zug maßgebend!
</t>
        </r>
      </text>
    </comment>
    <comment ref="A92" authorId="0" shapeId="0" xr:uid="{00000000-0006-0000-0D00-00002A000000}">
      <text>
        <r>
          <rPr>
            <b/>
            <sz val="9"/>
            <color indexed="81"/>
            <rFont val="Tahoma"/>
            <family val="2"/>
          </rPr>
          <t>V=0 kommt vor, wenn keine indirekten Einw. und Anschlussbew. Vorhanden</t>
        </r>
      </text>
    </comment>
  </commentList>
</comments>
</file>

<file path=xl/sharedStrings.xml><?xml version="1.0" encoding="utf-8"?>
<sst xmlns="http://schemas.openxmlformats.org/spreadsheetml/2006/main" count="6412" uniqueCount="1599">
  <si>
    <t>[mm]</t>
  </si>
  <si>
    <t>Stahlversagen</t>
  </si>
  <si>
    <t>[kN]</t>
  </si>
  <si>
    <r>
      <t>γ</t>
    </r>
    <r>
      <rPr>
        <vertAlign val="subscript"/>
        <sz val="10"/>
        <rFont val="Arial"/>
        <family val="2"/>
      </rPr>
      <t>Ms</t>
    </r>
  </si>
  <si>
    <r>
      <t>N</t>
    </r>
    <r>
      <rPr>
        <vertAlign val="subscript"/>
        <sz val="10"/>
        <rFont val="Arial"/>
        <family val="2"/>
      </rPr>
      <t>Rk,s</t>
    </r>
  </si>
  <si>
    <t>Herausziehen</t>
  </si>
  <si>
    <r>
      <t>N</t>
    </r>
    <r>
      <rPr>
        <vertAlign val="subscript"/>
        <sz val="10"/>
        <rFont val="Arial"/>
        <family val="2"/>
      </rPr>
      <t>Rk,p</t>
    </r>
  </si>
  <si>
    <t>[-]</t>
  </si>
  <si>
    <t>Betonausbruch</t>
  </si>
  <si>
    <t>Betonausbruch auf der lastabgewandten Seite</t>
  </si>
  <si>
    <t>k</t>
  </si>
  <si>
    <t>Betonkantenbruch</t>
  </si>
  <si>
    <r>
      <t>γ</t>
    </r>
    <r>
      <rPr>
        <vertAlign val="subscript"/>
        <sz val="10"/>
        <rFont val="Arial"/>
        <family val="2"/>
      </rPr>
      <t>Mc</t>
    </r>
  </si>
  <si>
    <t>[N/mm²]</t>
  </si>
  <si>
    <t>Randabstand c</t>
  </si>
  <si>
    <t>Achsabstand s</t>
  </si>
  <si>
    <t>[mm²]</t>
  </si>
  <si>
    <t>Untergrunddicke h</t>
  </si>
  <si>
    <r>
      <t>V</t>
    </r>
    <r>
      <rPr>
        <vertAlign val="subscript"/>
        <sz val="10"/>
        <rFont val="Arial"/>
        <family val="2"/>
      </rPr>
      <t>Rk,cp</t>
    </r>
  </si>
  <si>
    <t>Randbalkenhöhe h</t>
  </si>
  <si>
    <t>Kombinierte Beanspruchung</t>
  </si>
  <si>
    <t>α</t>
  </si>
  <si>
    <t>Untergrundqualität</t>
  </si>
  <si>
    <t>Warnung c</t>
  </si>
  <si>
    <t>Warnung h</t>
  </si>
  <si>
    <t>Betongüte</t>
  </si>
  <si>
    <t>Dübelanzahl</t>
  </si>
  <si>
    <t>[Stk]</t>
  </si>
  <si>
    <t>Ausnutzung</t>
  </si>
  <si>
    <t>Warnung</t>
  </si>
  <si>
    <t>Tragwerk</t>
  </si>
  <si>
    <r>
      <t>Randabstand c</t>
    </r>
    <r>
      <rPr>
        <vertAlign val="subscript"/>
        <sz val="10"/>
        <rFont val="Arial"/>
        <family val="2"/>
      </rPr>
      <t>T</t>
    </r>
  </si>
  <si>
    <t>[%]</t>
  </si>
  <si>
    <t>Drehpunktabstand d</t>
  </si>
  <si>
    <t>Dübel 1 (der Tragwerksachse näher liegend)</t>
  </si>
  <si>
    <t>Dübel 2 (dem Tragwerksrand näher liegend)</t>
  </si>
  <si>
    <t>Dübelreihenabst. s1</t>
  </si>
  <si>
    <t>Dübelreihe 1</t>
  </si>
  <si>
    <t>Dübelreihe 2</t>
  </si>
  <si>
    <t>Dübelauswahl</t>
  </si>
  <si>
    <t>Dübelanzahl in der Lasteinleitungslänge</t>
  </si>
  <si>
    <t>Konstante k</t>
  </si>
  <si>
    <t>Lokale Pressung am Kopfbolzen</t>
  </si>
  <si>
    <t>Schlüsselweite</t>
  </si>
  <si>
    <t>Normalkraftwiderstand Einzeldübel</t>
  </si>
  <si>
    <t>Querkraftwiderstand Einzeldübel</t>
  </si>
  <si>
    <t>Ausnutzungsgrad</t>
  </si>
  <si>
    <t>Ausnutzung N</t>
  </si>
  <si>
    <t>Ausnutzung V</t>
  </si>
  <si>
    <t>Normalkraft</t>
  </si>
  <si>
    <t>Querkraft</t>
  </si>
  <si>
    <t>Laufende Nummer</t>
  </si>
  <si>
    <t>Gewählter Dübel</t>
  </si>
  <si>
    <t>Ausnutzung Dübel</t>
  </si>
  <si>
    <t>Planer</t>
  </si>
  <si>
    <t>Telefon</t>
  </si>
  <si>
    <t>Bearbeiter</t>
  </si>
  <si>
    <t>Mobil</t>
  </si>
  <si>
    <t>Projektbez.</t>
  </si>
  <si>
    <t>Fax</t>
  </si>
  <si>
    <t>Projekt Nr.</t>
  </si>
  <si>
    <t>Email</t>
  </si>
  <si>
    <t>Lastfall</t>
  </si>
  <si>
    <t>Datum</t>
  </si>
  <si>
    <r>
      <t>N</t>
    </r>
    <r>
      <rPr>
        <vertAlign val="subscript"/>
        <sz val="10"/>
        <rFont val="Arial"/>
        <family val="2"/>
      </rPr>
      <t>Rd,s</t>
    </r>
  </si>
  <si>
    <r>
      <t>V</t>
    </r>
    <r>
      <rPr>
        <vertAlign val="subscript"/>
        <sz val="10"/>
        <rFont val="Arial"/>
        <family val="2"/>
      </rPr>
      <t>Rd,s</t>
    </r>
  </si>
  <si>
    <t>Zustand I</t>
  </si>
  <si>
    <t>Zustand II</t>
  </si>
  <si>
    <t>berücksichtigen</t>
  </si>
  <si>
    <t>nicht berücksichtigen</t>
  </si>
  <si>
    <t>Geometrie</t>
  </si>
  <si>
    <r>
      <t>N</t>
    </r>
    <r>
      <rPr>
        <vertAlign val="subscript"/>
        <sz val="10"/>
        <rFont val="Arial"/>
        <family val="2"/>
      </rPr>
      <t>Rd,c</t>
    </r>
  </si>
  <si>
    <r>
      <t>V</t>
    </r>
    <r>
      <rPr>
        <vertAlign val="subscript"/>
        <sz val="10"/>
        <rFont val="Arial"/>
        <family val="2"/>
      </rPr>
      <t>Rd,cp</t>
    </r>
  </si>
  <si>
    <t>Bemessungswert des Widerstandes</t>
  </si>
  <si>
    <r>
      <t>N</t>
    </r>
    <r>
      <rPr>
        <vertAlign val="subscript"/>
        <sz val="10"/>
        <rFont val="Arial"/>
        <family val="2"/>
      </rPr>
      <t>Sd</t>
    </r>
  </si>
  <si>
    <t>Bemessungswert der Einwirkung</t>
  </si>
  <si>
    <t>Charakteristische Zugtragfähigkeit lt. Zulassung</t>
  </si>
  <si>
    <r>
      <t>N</t>
    </r>
    <r>
      <rPr>
        <vertAlign val="subscript"/>
        <sz val="10"/>
        <rFont val="Arial"/>
        <family val="2"/>
      </rPr>
      <t>Rk,c</t>
    </r>
  </si>
  <si>
    <r>
      <t>N</t>
    </r>
    <r>
      <rPr>
        <vertAlign val="superscript"/>
        <sz val="10"/>
        <rFont val="Arial"/>
        <family val="2"/>
      </rPr>
      <t>0</t>
    </r>
    <r>
      <rPr>
        <vertAlign val="subscript"/>
        <sz val="10"/>
        <rFont val="Arial"/>
        <family val="2"/>
      </rPr>
      <t>Rk,c</t>
    </r>
  </si>
  <si>
    <r>
      <t>A</t>
    </r>
    <r>
      <rPr>
        <vertAlign val="superscript"/>
        <sz val="10"/>
        <rFont val="Arial"/>
        <family val="2"/>
      </rPr>
      <t>0</t>
    </r>
    <r>
      <rPr>
        <vertAlign val="subscript"/>
        <sz val="10"/>
        <rFont val="Arial"/>
        <family val="2"/>
      </rPr>
      <t>c,N</t>
    </r>
  </si>
  <si>
    <r>
      <t>A</t>
    </r>
    <r>
      <rPr>
        <vertAlign val="subscript"/>
        <sz val="10"/>
        <rFont val="Arial"/>
        <family val="2"/>
      </rPr>
      <t>c,N</t>
    </r>
  </si>
  <si>
    <r>
      <t>y</t>
    </r>
    <r>
      <rPr>
        <vertAlign val="subscript"/>
        <sz val="10"/>
        <rFont val="Arial"/>
        <family val="2"/>
      </rPr>
      <t>s,N</t>
    </r>
  </si>
  <si>
    <r>
      <t>y</t>
    </r>
    <r>
      <rPr>
        <vertAlign val="subscript"/>
        <sz val="10"/>
        <rFont val="Arial"/>
        <family val="2"/>
      </rPr>
      <t>re,N</t>
    </r>
  </si>
  <si>
    <r>
      <t>y</t>
    </r>
    <r>
      <rPr>
        <vertAlign val="subscript"/>
        <sz val="10"/>
        <rFont val="Arial"/>
        <family val="2"/>
      </rPr>
      <t>ec,N</t>
    </r>
  </si>
  <si>
    <r>
      <t>y</t>
    </r>
    <r>
      <rPr>
        <vertAlign val="subscript"/>
        <sz val="10"/>
        <rFont val="Arial"/>
        <family val="2"/>
      </rPr>
      <t>ucr,N</t>
    </r>
  </si>
  <si>
    <r>
      <t>b</t>
    </r>
    <r>
      <rPr>
        <vertAlign val="subscript"/>
        <sz val="10"/>
        <rFont val="Arial"/>
        <family val="2"/>
      </rPr>
      <t>N</t>
    </r>
  </si>
  <si>
    <r>
      <t>V</t>
    </r>
    <r>
      <rPr>
        <vertAlign val="subscript"/>
        <sz val="10"/>
        <rFont val="Arial"/>
        <family val="2"/>
      </rPr>
      <t>Sd</t>
    </r>
  </si>
  <si>
    <r>
      <t>b</t>
    </r>
    <r>
      <rPr>
        <vertAlign val="subscript"/>
        <sz val="10"/>
        <rFont val="Arial"/>
        <family val="2"/>
      </rPr>
      <t>V</t>
    </r>
  </si>
  <si>
    <r>
      <t>b</t>
    </r>
    <r>
      <rPr>
        <b/>
        <vertAlign val="subscript"/>
        <sz val="10"/>
        <rFont val="Arial"/>
        <family val="2"/>
      </rPr>
      <t>N,s</t>
    </r>
  </si>
  <si>
    <r>
      <t>b</t>
    </r>
    <r>
      <rPr>
        <b/>
        <vertAlign val="subscript"/>
        <sz val="10"/>
        <rFont val="Arial"/>
        <family val="2"/>
      </rPr>
      <t>N,c</t>
    </r>
  </si>
  <si>
    <r>
      <t>b</t>
    </r>
    <r>
      <rPr>
        <b/>
        <vertAlign val="subscript"/>
        <sz val="10"/>
        <rFont val="Arial"/>
        <family val="2"/>
      </rPr>
      <t>V,s</t>
    </r>
  </si>
  <si>
    <r>
      <t>b</t>
    </r>
    <r>
      <rPr>
        <b/>
        <vertAlign val="subscript"/>
        <sz val="10"/>
        <rFont val="Arial"/>
        <family val="2"/>
      </rPr>
      <t>V,cp</t>
    </r>
  </si>
  <si>
    <t>c</t>
  </si>
  <si>
    <t>s</t>
  </si>
  <si>
    <t>h</t>
  </si>
  <si>
    <t>Nachweis für Bewehrungsstahl</t>
  </si>
  <si>
    <t>Streckgrenze Baustahl</t>
  </si>
  <si>
    <t>VSd / m</t>
  </si>
  <si>
    <t>[kN/m]</t>
  </si>
  <si>
    <t>as</t>
  </si>
  <si>
    <t>Teilsicherheitsbeiwert gR</t>
  </si>
  <si>
    <t>[kNm/m]</t>
  </si>
  <si>
    <r>
      <t>f</t>
    </r>
    <r>
      <rPr>
        <vertAlign val="subscript"/>
        <sz val="10"/>
        <rFont val="Arial"/>
        <family val="2"/>
      </rPr>
      <t>ck,cube</t>
    </r>
  </si>
  <si>
    <r>
      <t>ψ</t>
    </r>
    <r>
      <rPr>
        <vertAlign val="subscript"/>
        <sz val="10"/>
        <rFont val="Arial"/>
        <family val="2"/>
      </rPr>
      <t>s,N</t>
    </r>
  </si>
  <si>
    <r>
      <t>ψ</t>
    </r>
    <r>
      <rPr>
        <vertAlign val="subscript"/>
        <sz val="10"/>
        <rFont val="Arial"/>
        <family val="2"/>
      </rPr>
      <t>re,N</t>
    </r>
  </si>
  <si>
    <r>
      <t>ψ</t>
    </r>
    <r>
      <rPr>
        <vertAlign val="subscript"/>
        <sz val="10"/>
        <rFont val="Arial"/>
        <family val="2"/>
      </rPr>
      <t>ec,N</t>
    </r>
  </si>
  <si>
    <r>
      <t>N</t>
    </r>
    <r>
      <rPr>
        <b/>
        <vertAlign val="subscript"/>
        <sz val="10"/>
        <rFont val="Arial"/>
        <family val="2"/>
      </rPr>
      <t>Rd,c</t>
    </r>
  </si>
  <si>
    <r>
      <t>V</t>
    </r>
    <r>
      <rPr>
        <b/>
        <vertAlign val="subscript"/>
        <sz val="10"/>
        <rFont val="Arial"/>
        <family val="2"/>
      </rPr>
      <t>Rd,cp</t>
    </r>
  </si>
  <si>
    <r>
      <t>γ</t>
    </r>
    <r>
      <rPr>
        <vertAlign val="subscript"/>
        <sz val="10"/>
        <rFont val="Arial"/>
        <family val="2"/>
      </rPr>
      <t>Mp</t>
    </r>
  </si>
  <si>
    <r>
      <t>N</t>
    </r>
    <r>
      <rPr>
        <b/>
        <vertAlign val="subscript"/>
        <sz val="10"/>
        <rFont val="Arial"/>
        <family val="2"/>
      </rPr>
      <t>Rd,p</t>
    </r>
  </si>
  <si>
    <r>
      <t>ψ</t>
    </r>
    <r>
      <rPr>
        <vertAlign val="subscript"/>
        <sz val="10"/>
        <rFont val="Arial"/>
        <family val="2"/>
      </rPr>
      <t>c, C30/37</t>
    </r>
  </si>
  <si>
    <r>
      <t>ψ</t>
    </r>
    <r>
      <rPr>
        <vertAlign val="subscript"/>
        <sz val="10"/>
        <rFont val="Arial"/>
        <family val="2"/>
      </rPr>
      <t>c, C40/50</t>
    </r>
  </si>
  <si>
    <r>
      <t>ψ</t>
    </r>
    <r>
      <rPr>
        <vertAlign val="subscript"/>
        <sz val="10"/>
        <rFont val="Arial"/>
        <family val="2"/>
      </rPr>
      <t>c, C50/60</t>
    </r>
  </si>
  <si>
    <t>Ausnutz Kappe</t>
  </si>
  <si>
    <t>Ausnutz Tragw.</t>
  </si>
  <si>
    <r>
      <t>A</t>
    </r>
    <r>
      <rPr>
        <vertAlign val="subscript"/>
        <sz val="10"/>
        <rFont val="Arial"/>
        <family val="2"/>
      </rPr>
      <t>Mutter</t>
    </r>
  </si>
  <si>
    <t>keine Zeilen rauslöschen!!! Führt zu Veränderungen in anderen Formeln</t>
  </si>
  <si>
    <t>Kappe</t>
  </si>
  <si>
    <r>
      <t>M</t>
    </r>
    <r>
      <rPr>
        <vertAlign val="subscript"/>
        <sz val="10"/>
        <rFont val="Arial"/>
        <family val="2"/>
      </rPr>
      <t>Rk,s</t>
    </r>
  </si>
  <si>
    <t>[Nm]</t>
  </si>
  <si>
    <t>Stahlversagen mit Hebelarm</t>
  </si>
  <si>
    <t>≤</t>
  </si>
  <si>
    <r>
      <t>b</t>
    </r>
    <r>
      <rPr>
        <b/>
        <vertAlign val="subscript"/>
        <sz val="10"/>
        <rFont val="Arial"/>
        <family val="2"/>
      </rPr>
      <t>N,p</t>
    </r>
  </si>
  <si>
    <r>
      <t>N</t>
    </r>
    <r>
      <rPr>
        <vertAlign val="subscript"/>
        <sz val="10"/>
        <rFont val="Arial"/>
        <family val="2"/>
      </rPr>
      <t>Rd,p</t>
    </r>
  </si>
  <si>
    <t>Einreihige Ankeranordnung</t>
  </si>
  <si>
    <t>Zweireihige Ankeranordnung</t>
  </si>
  <si>
    <r>
      <t>Randabstand c</t>
    </r>
    <r>
      <rPr>
        <vertAlign val="subscript"/>
        <sz val="10"/>
        <rFont val="Arial"/>
        <family val="2"/>
      </rPr>
      <t>K</t>
    </r>
  </si>
  <si>
    <t>[cm²/m]</t>
  </si>
  <si>
    <r>
      <t>N</t>
    </r>
    <r>
      <rPr>
        <vertAlign val="superscript"/>
        <sz val="10"/>
        <rFont val="Arial"/>
        <family val="2"/>
      </rPr>
      <t>0</t>
    </r>
    <r>
      <rPr>
        <vertAlign val="subscript"/>
        <sz val="10"/>
        <rFont val="Arial"/>
        <family val="2"/>
      </rPr>
      <t>Rk,p</t>
    </r>
  </si>
  <si>
    <r>
      <t>s</t>
    </r>
    <r>
      <rPr>
        <vertAlign val="subscript"/>
        <sz val="10"/>
        <rFont val="Arial"/>
        <family val="2"/>
      </rPr>
      <t>cr,Np</t>
    </r>
  </si>
  <si>
    <r>
      <t>A</t>
    </r>
    <r>
      <rPr>
        <vertAlign val="superscript"/>
        <sz val="10"/>
        <rFont val="Arial"/>
        <family val="2"/>
      </rPr>
      <t>0</t>
    </r>
    <r>
      <rPr>
        <vertAlign val="subscript"/>
        <sz val="10"/>
        <rFont val="Arial"/>
        <family val="2"/>
      </rPr>
      <t>p,N</t>
    </r>
  </si>
  <si>
    <r>
      <t>A</t>
    </r>
    <r>
      <rPr>
        <vertAlign val="subscript"/>
        <sz val="10"/>
        <rFont val="Arial"/>
        <family val="2"/>
      </rPr>
      <t>p,N</t>
    </r>
  </si>
  <si>
    <t>Kombiniertes Versagen Herausziehen / Betonausbruch</t>
  </si>
  <si>
    <r>
      <t>ψ</t>
    </r>
    <r>
      <rPr>
        <vertAlign val="subscript"/>
        <sz val="10"/>
        <rFont val="Arial"/>
        <family val="2"/>
      </rPr>
      <t>s,Np</t>
    </r>
  </si>
  <si>
    <t>β</t>
  </si>
  <si>
    <t>Untergrund</t>
  </si>
  <si>
    <t>EOTA TR 029</t>
  </si>
  <si>
    <t>Kopfbolzenfläche</t>
  </si>
  <si>
    <t>Mindesttragwerkhöhe</t>
  </si>
  <si>
    <r>
      <t>Kappenhöhe H</t>
    </r>
    <r>
      <rPr>
        <vertAlign val="subscript"/>
        <sz val="10"/>
        <rFont val="Arial"/>
        <family val="2"/>
      </rPr>
      <t>K</t>
    </r>
  </si>
  <si>
    <t xml:space="preserve">Zug, Betonausbruch </t>
  </si>
  <si>
    <t>Zug, Herausziehen</t>
  </si>
  <si>
    <t>Zugkraft</t>
  </si>
  <si>
    <t>Querkraft auf Stahl</t>
  </si>
  <si>
    <t>Querkraft auf Beton</t>
  </si>
  <si>
    <t>Einwirkungen</t>
  </si>
  <si>
    <t>≥</t>
  </si>
  <si>
    <t xml:space="preserve"> </t>
  </si>
  <si>
    <r>
      <t>b</t>
    </r>
    <r>
      <rPr>
        <b/>
        <vertAlign val="subscript"/>
        <sz val="10"/>
        <rFont val="Arial"/>
        <family val="2"/>
      </rPr>
      <t>N</t>
    </r>
  </si>
  <si>
    <r>
      <t>f</t>
    </r>
    <r>
      <rPr>
        <vertAlign val="subscript"/>
        <sz val="10"/>
        <color indexed="8"/>
        <rFont val="Arial"/>
        <family val="2"/>
      </rPr>
      <t>ck,cube</t>
    </r>
  </si>
  <si>
    <r>
      <t>c</t>
    </r>
    <r>
      <rPr>
        <vertAlign val="subscript"/>
        <sz val="10"/>
        <color indexed="8"/>
        <rFont val="Arial"/>
        <family val="2"/>
      </rPr>
      <t>min gerissener Beton</t>
    </r>
  </si>
  <si>
    <r>
      <t>s</t>
    </r>
    <r>
      <rPr>
        <vertAlign val="subscript"/>
        <sz val="10"/>
        <color indexed="8"/>
        <rFont val="Arial"/>
        <family val="2"/>
      </rPr>
      <t>min gerissener Beton</t>
    </r>
  </si>
  <si>
    <r>
      <t>c</t>
    </r>
    <r>
      <rPr>
        <vertAlign val="subscript"/>
        <sz val="10"/>
        <color indexed="8"/>
        <rFont val="Arial"/>
        <family val="2"/>
      </rPr>
      <t>min ungerissener Beton</t>
    </r>
  </si>
  <si>
    <r>
      <t>s</t>
    </r>
    <r>
      <rPr>
        <vertAlign val="subscript"/>
        <sz val="10"/>
        <color indexed="8"/>
        <rFont val="Arial"/>
        <family val="2"/>
      </rPr>
      <t>min ungerissener Beton</t>
    </r>
  </si>
  <si>
    <r>
      <t>N</t>
    </r>
    <r>
      <rPr>
        <vertAlign val="subscript"/>
        <sz val="10"/>
        <color indexed="8"/>
        <rFont val="Arial"/>
        <family val="2"/>
      </rPr>
      <t>Rk,s</t>
    </r>
  </si>
  <si>
    <r>
      <t>γ</t>
    </r>
    <r>
      <rPr>
        <vertAlign val="subscript"/>
        <sz val="10"/>
        <color indexed="8"/>
        <rFont val="Arial"/>
        <family val="2"/>
      </rPr>
      <t>Ms</t>
    </r>
  </si>
  <si>
    <r>
      <t>N</t>
    </r>
    <r>
      <rPr>
        <b/>
        <vertAlign val="subscript"/>
        <sz val="10"/>
        <color indexed="8"/>
        <rFont val="Arial"/>
        <family val="2"/>
      </rPr>
      <t>Rd,s</t>
    </r>
  </si>
  <si>
    <r>
      <t>N</t>
    </r>
    <r>
      <rPr>
        <vertAlign val="superscript"/>
        <sz val="10"/>
        <color indexed="8"/>
        <rFont val="Arial"/>
        <family val="2"/>
      </rPr>
      <t>0</t>
    </r>
    <r>
      <rPr>
        <vertAlign val="subscript"/>
        <sz val="10"/>
        <color indexed="8"/>
        <rFont val="Arial"/>
        <family val="2"/>
      </rPr>
      <t>Rk,p</t>
    </r>
  </si>
  <si>
    <r>
      <t>N</t>
    </r>
    <r>
      <rPr>
        <vertAlign val="subscript"/>
        <sz val="10"/>
        <color indexed="8"/>
        <rFont val="Arial"/>
        <family val="2"/>
      </rPr>
      <t>Rk,p</t>
    </r>
  </si>
  <si>
    <r>
      <t>s</t>
    </r>
    <r>
      <rPr>
        <vertAlign val="subscript"/>
        <sz val="10"/>
        <color indexed="8"/>
        <rFont val="Arial"/>
        <family val="2"/>
      </rPr>
      <t>cr,Np</t>
    </r>
  </si>
  <si>
    <r>
      <t>A</t>
    </r>
    <r>
      <rPr>
        <vertAlign val="superscript"/>
        <sz val="10"/>
        <color indexed="8"/>
        <rFont val="Arial"/>
        <family val="2"/>
      </rPr>
      <t>0</t>
    </r>
    <r>
      <rPr>
        <vertAlign val="subscript"/>
        <sz val="10"/>
        <color indexed="8"/>
        <rFont val="Arial"/>
        <family val="2"/>
      </rPr>
      <t>p,N</t>
    </r>
  </si>
  <si>
    <r>
      <t>A</t>
    </r>
    <r>
      <rPr>
        <vertAlign val="subscript"/>
        <sz val="10"/>
        <color indexed="8"/>
        <rFont val="Arial"/>
        <family val="2"/>
      </rPr>
      <t>p,N</t>
    </r>
  </si>
  <si>
    <r>
      <t>ψ</t>
    </r>
    <r>
      <rPr>
        <vertAlign val="subscript"/>
        <sz val="10"/>
        <color indexed="8"/>
        <rFont val="Arial"/>
        <family val="2"/>
      </rPr>
      <t>s,Np</t>
    </r>
  </si>
  <si>
    <r>
      <t>ψ</t>
    </r>
    <r>
      <rPr>
        <vertAlign val="subscript"/>
        <sz val="10"/>
        <color indexed="8"/>
        <rFont val="Arial"/>
        <family val="2"/>
      </rPr>
      <t>re,N</t>
    </r>
  </si>
  <si>
    <r>
      <t>ψ</t>
    </r>
    <r>
      <rPr>
        <vertAlign val="subscript"/>
        <sz val="10"/>
        <color indexed="8"/>
        <rFont val="Arial"/>
        <family val="2"/>
      </rPr>
      <t>c, C30/37</t>
    </r>
  </si>
  <si>
    <r>
      <t>ψ</t>
    </r>
    <r>
      <rPr>
        <vertAlign val="subscript"/>
        <sz val="10"/>
        <color indexed="8"/>
        <rFont val="Arial"/>
        <family val="2"/>
      </rPr>
      <t>c, C40/50</t>
    </r>
  </si>
  <si>
    <r>
      <t>ψ</t>
    </r>
    <r>
      <rPr>
        <vertAlign val="subscript"/>
        <sz val="10"/>
        <color indexed="8"/>
        <rFont val="Arial"/>
        <family val="2"/>
      </rPr>
      <t>c, C50/60</t>
    </r>
  </si>
  <si>
    <r>
      <t>M</t>
    </r>
    <r>
      <rPr>
        <vertAlign val="subscript"/>
        <sz val="10"/>
        <color indexed="8"/>
        <rFont val="Arial"/>
        <family val="2"/>
      </rPr>
      <t>Rk,s</t>
    </r>
  </si>
  <si>
    <r>
      <t>γ</t>
    </r>
    <r>
      <rPr>
        <vertAlign val="subscript"/>
        <sz val="10"/>
        <color indexed="8"/>
        <rFont val="Arial"/>
        <family val="2"/>
      </rPr>
      <t>Ms,V</t>
    </r>
  </si>
  <si>
    <r>
      <t>V</t>
    </r>
    <r>
      <rPr>
        <b/>
        <vertAlign val="subscript"/>
        <sz val="10"/>
        <color indexed="8"/>
        <rFont val="Arial"/>
        <family val="2"/>
      </rPr>
      <t>Rd,s</t>
    </r>
  </si>
  <si>
    <r>
      <t>V</t>
    </r>
    <r>
      <rPr>
        <vertAlign val="subscript"/>
        <sz val="10"/>
        <color indexed="8"/>
        <rFont val="Arial"/>
        <family val="2"/>
      </rPr>
      <t>Rk,cp</t>
    </r>
  </si>
  <si>
    <r>
      <t>γ</t>
    </r>
    <r>
      <rPr>
        <vertAlign val="subscript"/>
        <sz val="10"/>
        <color indexed="8"/>
        <rFont val="Arial"/>
        <family val="2"/>
      </rPr>
      <t>Mcp</t>
    </r>
  </si>
  <si>
    <r>
      <t>V</t>
    </r>
    <r>
      <rPr>
        <b/>
        <vertAlign val="subscript"/>
        <sz val="10"/>
        <color indexed="8"/>
        <rFont val="Arial"/>
        <family val="2"/>
      </rPr>
      <t>Rd,cp</t>
    </r>
  </si>
  <si>
    <t xml:space="preserve">Download: </t>
  </si>
  <si>
    <r>
      <t>Lasteinleitungslänge l</t>
    </r>
    <r>
      <rPr>
        <vertAlign val="subscript"/>
        <sz val="10"/>
        <rFont val="Arial"/>
        <family val="2"/>
      </rPr>
      <t>e</t>
    </r>
  </si>
  <si>
    <t>Einwirkung Bord</t>
  </si>
  <si>
    <t>direkte Einwirkungen</t>
  </si>
  <si>
    <t>indirekte Einwirkungen</t>
  </si>
  <si>
    <r>
      <t>γ</t>
    </r>
    <r>
      <rPr>
        <vertAlign val="subscript"/>
        <sz val="10"/>
        <color theme="0" tint="-0.34998626667073579"/>
        <rFont val="Arial"/>
        <family val="2"/>
      </rPr>
      <t>Mc</t>
    </r>
  </si>
  <si>
    <r>
      <t>Kopfbolzenhöhe h</t>
    </r>
    <r>
      <rPr>
        <vertAlign val="subscript"/>
        <sz val="10"/>
        <color theme="1"/>
        <rFont val="Arial"/>
        <family val="2"/>
      </rPr>
      <t>ef</t>
    </r>
  </si>
  <si>
    <r>
      <t>N</t>
    </r>
    <r>
      <rPr>
        <vertAlign val="subscript"/>
        <sz val="10"/>
        <color theme="1"/>
        <rFont val="Arial"/>
        <family val="2"/>
      </rPr>
      <t>Rk,s</t>
    </r>
  </si>
  <si>
    <r>
      <t>γ</t>
    </r>
    <r>
      <rPr>
        <vertAlign val="subscript"/>
        <sz val="10"/>
        <color theme="1"/>
        <rFont val="Arial"/>
        <family val="2"/>
      </rPr>
      <t>Ms</t>
    </r>
  </si>
  <si>
    <r>
      <t>N</t>
    </r>
    <r>
      <rPr>
        <b/>
        <vertAlign val="subscript"/>
        <sz val="10"/>
        <color theme="1"/>
        <rFont val="Arial"/>
        <family val="2"/>
      </rPr>
      <t>Rd,s</t>
    </r>
  </si>
  <si>
    <r>
      <t>A</t>
    </r>
    <r>
      <rPr>
        <vertAlign val="subscript"/>
        <sz val="10"/>
        <color theme="1"/>
        <rFont val="Arial"/>
        <family val="2"/>
      </rPr>
      <t>Kopf</t>
    </r>
  </si>
  <si>
    <r>
      <t>N</t>
    </r>
    <r>
      <rPr>
        <vertAlign val="subscript"/>
        <sz val="10"/>
        <color theme="1"/>
        <rFont val="Arial"/>
        <family val="2"/>
      </rPr>
      <t>Rk,p</t>
    </r>
  </si>
  <si>
    <r>
      <t>N</t>
    </r>
    <r>
      <rPr>
        <vertAlign val="superscript"/>
        <sz val="10"/>
        <color theme="1"/>
        <rFont val="Arial"/>
        <family val="2"/>
      </rPr>
      <t>0</t>
    </r>
    <r>
      <rPr>
        <vertAlign val="subscript"/>
        <sz val="10"/>
        <color theme="1"/>
        <rFont val="Arial"/>
        <family val="2"/>
      </rPr>
      <t>Rk,c</t>
    </r>
  </si>
  <si>
    <r>
      <t>A</t>
    </r>
    <r>
      <rPr>
        <vertAlign val="superscript"/>
        <sz val="10"/>
        <color theme="1"/>
        <rFont val="Arial"/>
        <family val="2"/>
      </rPr>
      <t>0</t>
    </r>
    <r>
      <rPr>
        <vertAlign val="subscript"/>
        <sz val="10"/>
        <color theme="1"/>
        <rFont val="Arial"/>
        <family val="2"/>
      </rPr>
      <t>c,N</t>
    </r>
  </si>
  <si>
    <r>
      <t>A</t>
    </r>
    <r>
      <rPr>
        <vertAlign val="subscript"/>
        <sz val="10"/>
        <color theme="1"/>
        <rFont val="Arial"/>
        <family val="2"/>
      </rPr>
      <t>c,N</t>
    </r>
  </si>
  <si>
    <r>
      <t>ψ</t>
    </r>
    <r>
      <rPr>
        <vertAlign val="subscript"/>
        <sz val="10"/>
        <color theme="1"/>
        <rFont val="Arial"/>
        <family val="2"/>
      </rPr>
      <t>s,N</t>
    </r>
  </si>
  <si>
    <r>
      <t>ψ</t>
    </r>
    <r>
      <rPr>
        <vertAlign val="subscript"/>
        <sz val="10"/>
        <color theme="1"/>
        <rFont val="Arial"/>
        <family val="2"/>
      </rPr>
      <t>re,N</t>
    </r>
  </si>
  <si>
    <r>
      <t>ψ</t>
    </r>
    <r>
      <rPr>
        <vertAlign val="subscript"/>
        <sz val="10"/>
        <color theme="1"/>
        <rFont val="Arial"/>
        <family val="2"/>
      </rPr>
      <t>ec,N</t>
    </r>
  </si>
  <si>
    <r>
      <t>ψ</t>
    </r>
    <r>
      <rPr>
        <vertAlign val="subscript"/>
        <sz val="10"/>
        <color theme="1"/>
        <rFont val="Arial"/>
        <family val="2"/>
      </rPr>
      <t>ucr,N</t>
    </r>
  </si>
  <si>
    <r>
      <t>N</t>
    </r>
    <r>
      <rPr>
        <vertAlign val="subscript"/>
        <sz val="10"/>
        <color theme="1"/>
        <rFont val="Arial"/>
        <family val="2"/>
      </rPr>
      <t>Rk,c</t>
    </r>
  </si>
  <si>
    <r>
      <t>γ</t>
    </r>
    <r>
      <rPr>
        <vertAlign val="subscript"/>
        <sz val="10"/>
        <color theme="1"/>
        <rFont val="Arial"/>
        <family val="2"/>
      </rPr>
      <t>Mc</t>
    </r>
  </si>
  <si>
    <r>
      <t>N</t>
    </r>
    <r>
      <rPr>
        <b/>
        <vertAlign val="subscript"/>
        <sz val="10"/>
        <color theme="1"/>
        <rFont val="Arial"/>
        <family val="2"/>
      </rPr>
      <t>Rd,c</t>
    </r>
  </si>
  <si>
    <r>
      <t>N</t>
    </r>
    <r>
      <rPr>
        <b/>
        <vertAlign val="subscript"/>
        <sz val="10"/>
        <color theme="1"/>
        <rFont val="Arial"/>
        <family val="2"/>
      </rPr>
      <t>Rd</t>
    </r>
  </si>
  <si>
    <r>
      <t>M</t>
    </r>
    <r>
      <rPr>
        <vertAlign val="subscript"/>
        <sz val="10"/>
        <color theme="1"/>
        <rFont val="Arial"/>
        <family val="2"/>
      </rPr>
      <t>Rk,s</t>
    </r>
  </si>
  <si>
    <r>
      <t>V</t>
    </r>
    <r>
      <rPr>
        <b/>
        <vertAlign val="subscript"/>
        <sz val="10"/>
        <color theme="1"/>
        <rFont val="Arial"/>
        <family val="2"/>
      </rPr>
      <t>Rd,s</t>
    </r>
  </si>
  <si>
    <r>
      <t>V</t>
    </r>
    <r>
      <rPr>
        <vertAlign val="subscript"/>
        <sz val="10"/>
        <color theme="1"/>
        <rFont val="Arial"/>
        <family val="2"/>
      </rPr>
      <t>Rk,cp</t>
    </r>
  </si>
  <si>
    <r>
      <t>V</t>
    </r>
    <r>
      <rPr>
        <b/>
        <vertAlign val="subscript"/>
        <sz val="10"/>
        <color theme="1"/>
        <rFont val="Arial"/>
        <family val="2"/>
      </rPr>
      <t>Rd,cp</t>
    </r>
  </si>
  <si>
    <t>Kappenanker HCC M16</t>
  </si>
  <si>
    <t>Kappenanker HCC M20</t>
  </si>
  <si>
    <t>Kappenanker HCC M24</t>
  </si>
  <si>
    <t>Bauvorhaben</t>
  </si>
  <si>
    <t>Instandsetzung Kappe</t>
  </si>
  <si>
    <t>Neubau Kappe und Überbau</t>
  </si>
  <si>
    <t>Kappenbreite b</t>
  </si>
  <si>
    <r>
      <t>Verankerungslänge h</t>
    </r>
    <r>
      <rPr>
        <vertAlign val="subscript"/>
        <sz val="10"/>
        <rFont val="Arial"/>
        <family val="2"/>
      </rPr>
      <t>T,ef</t>
    </r>
  </si>
  <si>
    <t>Vsd,x/y aus Zwang ensprechend Parameterstudie:</t>
  </si>
  <si>
    <t>maßgebender Zwang Vsdxy</t>
  </si>
  <si>
    <t>≤ 1,70 m</t>
  </si>
  <si>
    <t>Reihe 1</t>
  </si>
  <si>
    <t>Reihe 2</t>
  </si>
  <si>
    <t>Hebel Dübel 2</t>
  </si>
  <si>
    <t>Hebel Dübel 1</t>
  </si>
  <si>
    <t>dir.+indir. Einw. Stahl TW/Kappe</t>
  </si>
  <si>
    <t>dir.+indir. Einw. Beton TW</t>
  </si>
  <si>
    <t>dir.+indir. Einw. Beton Kappe</t>
  </si>
  <si>
    <t>Übertragung direkte / indirekte Querkraft-Einwirkungen</t>
  </si>
  <si>
    <t xml:space="preserve">Einwirkungen Mittelbereich </t>
  </si>
  <si>
    <t xml:space="preserve">Einwirkungen Randbereich </t>
  </si>
  <si>
    <t>V auf HCC</t>
  </si>
  <si>
    <t>direkte Einw. N aus M</t>
  </si>
  <si>
    <t>Dübel 1</t>
  </si>
  <si>
    <t>Dübel 2</t>
  </si>
  <si>
    <t>Ausnutzung Mitte 1.R.</t>
  </si>
  <si>
    <t>Ausnutzung Mitte 2.R.</t>
  </si>
  <si>
    <t>Ausn. Rand 1.R.</t>
  </si>
  <si>
    <t>Ausn. Rand 2.R.</t>
  </si>
  <si>
    <t>Ausn V Beton Mitte</t>
  </si>
  <si>
    <t>Ausn. Mitte Vy Stahl</t>
  </si>
  <si>
    <t>Ausn Vy Beton Mitte</t>
  </si>
  <si>
    <t>Ausn. Rand Vxy Stahl 1.R.</t>
  </si>
  <si>
    <t>Ausn. Rand Vxy Stahl 2.R</t>
  </si>
  <si>
    <t>Ausn Vxy Beton Rand</t>
  </si>
  <si>
    <t>Ausn. maßgeb. V Mitte</t>
  </si>
  <si>
    <t>Ausnutzung N Mitte</t>
  </si>
  <si>
    <t>Kombinierte Beanspruchung Mitte</t>
  </si>
  <si>
    <t>Warnung Mitte</t>
  </si>
  <si>
    <t>Ausnutzung V Mitte</t>
  </si>
  <si>
    <t>komb. Ausn Mitte</t>
  </si>
  <si>
    <t>Kombinierte Beanspruchung Rand</t>
  </si>
  <si>
    <t>Ausnutzung N Rand</t>
  </si>
  <si>
    <t>Ausn. maßgeb. V Rand</t>
  </si>
  <si>
    <t>komb. Ausn Rand</t>
  </si>
  <si>
    <t>Warnung Rand</t>
  </si>
  <si>
    <t>Ausnutzung V Rand</t>
  </si>
  <si>
    <t>Mitte</t>
  </si>
  <si>
    <t>Rand</t>
  </si>
  <si>
    <t>Ausn. N Mitte</t>
  </si>
  <si>
    <t>Bohrdurchmesser für Betondeckung unter Bohrloch</t>
  </si>
  <si>
    <t>Ausn. N Rand</t>
  </si>
  <si>
    <t>Ausn Stahl Mitte</t>
  </si>
  <si>
    <t>Ausn Stahl Rand</t>
  </si>
  <si>
    <t>Ausn V Beton Rand</t>
  </si>
  <si>
    <t>Ausn N Mitte 1.R</t>
  </si>
  <si>
    <t>Ausn V Mitte 1.R</t>
  </si>
  <si>
    <t>Ausn N Mitte 2.R</t>
  </si>
  <si>
    <t>Ausn V Mitte 2.R</t>
  </si>
  <si>
    <t>Ausn N Rand 1.R</t>
  </si>
  <si>
    <t>Ausn V Rand 1.R</t>
  </si>
  <si>
    <t>Ausn N Rand 2.R</t>
  </si>
  <si>
    <t>Ausn V Rand 2.R</t>
  </si>
  <si>
    <t>Überbau</t>
  </si>
  <si>
    <t>Gesamt</t>
  </si>
  <si>
    <t>Ergebnisse</t>
  </si>
  <si>
    <t>Widerstände HCC-Reihe 1</t>
  </si>
  <si>
    <t>Widerstände HCC-Reihe 2</t>
  </si>
  <si>
    <t>Einwirkungen HCC-Reihe 1</t>
  </si>
  <si>
    <t>Einwirkungen HCC-Reihe 2</t>
  </si>
  <si>
    <t>Interaktion N und V: ≤ 100 [%]</t>
  </si>
  <si>
    <t>Abstand Mitte sx</t>
  </si>
  <si>
    <t>Abstand Rand sx</t>
  </si>
  <si>
    <t>Mittelbereich</t>
  </si>
  <si>
    <t>Randbereich</t>
  </si>
  <si>
    <t>Achsabstand s Mitte</t>
  </si>
  <si>
    <t>Achsabstand s Rand</t>
  </si>
  <si>
    <t>Warnung s Rand 1.R</t>
  </si>
  <si>
    <t>Warnung s Rand 2.R</t>
  </si>
  <si>
    <t>Warnung s Mitte 1.R</t>
  </si>
  <si>
    <t>Warnung s Mitte 2.R</t>
  </si>
  <si>
    <r>
      <t>V</t>
    </r>
    <r>
      <rPr>
        <vertAlign val="subscript"/>
        <sz val="10"/>
        <rFont val="Arial"/>
        <family val="2"/>
      </rPr>
      <t>Sd,x/y,Stahl</t>
    </r>
  </si>
  <si>
    <r>
      <t>V</t>
    </r>
    <r>
      <rPr>
        <vertAlign val="subscript"/>
        <sz val="10"/>
        <rFont val="Arial"/>
        <family val="2"/>
      </rPr>
      <t>Sd,x/y,Beton</t>
    </r>
  </si>
  <si>
    <r>
      <t>Rand: V</t>
    </r>
    <r>
      <rPr>
        <vertAlign val="subscript"/>
        <sz val="10"/>
        <rFont val="Arial"/>
        <family val="2"/>
      </rPr>
      <t>sd,x/y,indirekt</t>
    </r>
  </si>
  <si>
    <r>
      <t>Mitte: V</t>
    </r>
    <r>
      <rPr>
        <vertAlign val="subscript"/>
        <sz val="10"/>
        <rFont val="Arial"/>
        <family val="2"/>
      </rPr>
      <t>sd,y,indirekt</t>
    </r>
  </si>
  <si>
    <r>
      <t>Querkraft V</t>
    </r>
    <r>
      <rPr>
        <vertAlign val="subscript"/>
        <sz val="10"/>
        <rFont val="Arial"/>
        <family val="2"/>
      </rPr>
      <t xml:space="preserve">Sd,y,direkt </t>
    </r>
    <r>
      <rPr>
        <sz val="10"/>
        <rFont val="Arial"/>
        <family val="2"/>
      </rPr>
      <t>/ m</t>
    </r>
  </si>
  <si>
    <r>
      <t>Moment M</t>
    </r>
    <r>
      <rPr>
        <vertAlign val="subscript"/>
        <sz val="10"/>
        <rFont val="Arial"/>
        <family val="2"/>
      </rPr>
      <t>Sd,y,direkt</t>
    </r>
    <r>
      <rPr>
        <sz val="10"/>
        <rFont val="Arial"/>
        <family val="2"/>
      </rPr>
      <t xml:space="preserve"> / m</t>
    </r>
  </si>
  <si>
    <t>[kN/HCC]</t>
  </si>
  <si>
    <t>direkte Einwirkung</t>
  </si>
  <si>
    <r>
      <t>Moment M</t>
    </r>
    <r>
      <rPr>
        <vertAlign val="subscript"/>
        <sz val="10"/>
        <rFont val="Arial"/>
        <family val="2"/>
      </rPr>
      <t xml:space="preserve">Sd,y,direkt </t>
    </r>
    <r>
      <rPr>
        <sz val="10"/>
        <rFont val="Arial"/>
        <family val="2"/>
      </rPr>
      <t>:</t>
    </r>
  </si>
  <si>
    <t>HCC-Reihe 1</t>
  </si>
  <si>
    <t>HCC-Reihe 2</t>
  </si>
  <si>
    <r>
      <t>V</t>
    </r>
    <r>
      <rPr>
        <vertAlign val="subscript"/>
        <sz val="10"/>
        <rFont val="Arial"/>
        <family val="2"/>
      </rPr>
      <t>Sd,y,Stahl</t>
    </r>
  </si>
  <si>
    <r>
      <t>V</t>
    </r>
    <r>
      <rPr>
        <vertAlign val="subscript"/>
        <sz val="10"/>
        <rFont val="Arial"/>
        <family val="2"/>
      </rPr>
      <t>Sd,y,Beton</t>
    </r>
  </si>
  <si>
    <t>HCC-Reihe 1 [kN]</t>
  </si>
  <si>
    <t>HCC-Reihe 2 [kN]</t>
  </si>
  <si>
    <t>Interaktion</t>
  </si>
  <si>
    <r>
      <t>Mitte: V</t>
    </r>
    <r>
      <rPr>
        <vertAlign val="subscript"/>
        <sz val="10"/>
        <rFont val="Arial"/>
        <family val="2"/>
      </rPr>
      <t>Sd,y,indirekt</t>
    </r>
    <r>
      <rPr>
        <sz val="10"/>
        <rFont val="Arial"/>
        <family val="2"/>
      </rPr>
      <t xml:space="preserve"> :</t>
    </r>
  </si>
  <si>
    <r>
      <t>Rand: V</t>
    </r>
    <r>
      <rPr>
        <vertAlign val="subscript"/>
        <sz val="10"/>
        <rFont val="Arial"/>
        <family val="2"/>
      </rPr>
      <t>Sd,x/y,indirekt</t>
    </r>
    <r>
      <rPr>
        <sz val="10"/>
        <rFont val="Arial"/>
        <family val="2"/>
      </rPr>
      <t xml:space="preserve"> :</t>
    </r>
  </si>
  <si>
    <t>Mittelbereich Kappe HCC-Reihe 2</t>
  </si>
  <si>
    <t>Randbereich Kappe HCC-Reihe 1</t>
  </si>
  <si>
    <t>Randbereich Kappe HCC-Reihe 2</t>
  </si>
  <si>
    <r>
      <t>N</t>
    </r>
    <r>
      <rPr>
        <vertAlign val="subscript"/>
        <sz val="10"/>
        <rFont val="Arial"/>
        <family val="2"/>
      </rPr>
      <t>Sd,Mitte</t>
    </r>
  </si>
  <si>
    <r>
      <t>V</t>
    </r>
    <r>
      <rPr>
        <vertAlign val="subscript"/>
        <sz val="10"/>
        <rFont val="Arial"/>
        <family val="2"/>
      </rPr>
      <t>Sd,Mitte</t>
    </r>
  </si>
  <si>
    <t>Mittelbereich Kappe HCC-Reihe 1</t>
  </si>
  <si>
    <r>
      <t>N</t>
    </r>
    <r>
      <rPr>
        <vertAlign val="subscript"/>
        <sz val="10"/>
        <rFont val="Arial"/>
        <family val="2"/>
      </rPr>
      <t>Sd, Rand</t>
    </r>
  </si>
  <si>
    <r>
      <t>N</t>
    </r>
    <r>
      <rPr>
        <vertAlign val="subscript"/>
        <sz val="10"/>
        <rFont val="Arial"/>
        <family val="2"/>
      </rPr>
      <t>Sd,Rand</t>
    </r>
  </si>
  <si>
    <r>
      <t>V</t>
    </r>
    <r>
      <rPr>
        <vertAlign val="subscript"/>
        <sz val="10"/>
        <rFont val="Arial"/>
        <family val="2"/>
      </rPr>
      <t>Sd,Rand</t>
    </r>
  </si>
  <si>
    <t>Mittelbereich Kappe</t>
  </si>
  <si>
    <t>Randbereich Kappe</t>
  </si>
  <si>
    <r>
      <t>Höhe Kappe H</t>
    </r>
    <r>
      <rPr>
        <vertAlign val="subscript"/>
        <sz val="10"/>
        <rFont val="Arial"/>
        <family val="2"/>
      </rPr>
      <t>K</t>
    </r>
  </si>
  <si>
    <t>Direkte Einwirkungen Anprall</t>
  </si>
  <si>
    <r>
      <t>Randabstand HCC-Bord c</t>
    </r>
    <r>
      <rPr>
        <vertAlign val="subscript"/>
        <sz val="10"/>
        <rFont val="Arial"/>
        <family val="2"/>
      </rPr>
      <t>k</t>
    </r>
  </si>
  <si>
    <r>
      <t>Querkraft V</t>
    </r>
    <r>
      <rPr>
        <vertAlign val="subscript"/>
        <sz val="10"/>
        <rFont val="Arial"/>
        <family val="2"/>
      </rPr>
      <t>sd</t>
    </r>
    <r>
      <rPr>
        <sz val="10"/>
        <rFont val="Arial"/>
        <family val="2"/>
      </rPr>
      <t xml:space="preserve"> auf HCC</t>
    </r>
  </si>
  <si>
    <r>
      <t>Moment M</t>
    </r>
    <r>
      <rPr>
        <vertAlign val="subscript"/>
        <sz val="10"/>
        <rFont val="Arial"/>
        <family val="2"/>
      </rPr>
      <t>sd</t>
    </r>
    <r>
      <rPr>
        <sz val="10"/>
        <rFont val="Arial"/>
        <family val="2"/>
      </rPr>
      <t xml:space="preserve"> auf HCC</t>
    </r>
  </si>
  <si>
    <r>
      <t>(</t>
    </r>
    <r>
      <rPr>
        <sz val="10"/>
        <rFont val="Symbol"/>
        <family val="1"/>
        <charset val="2"/>
      </rPr>
      <t xml:space="preserve">g </t>
    </r>
    <r>
      <rPr>
        <sz val="10"/>
        <rFont val="Arial"/>
        <family val="2"/>
      </rPr>
      <t>= 1,0 siehe DIN EN 1990/NA/A1:2012-08, Tabelle NA.A2.1)</t>
    </r>
  </si>
  <si>
    <t>Randabstand cK</t>
  </si>
  <si>
    <t>Super-Rail Eco Bw</t>
  </si>
  <si>
    <t>Super-Rail Eco doppelt Bw</t>
  </si>
  <si>
    <t>Super-Rail Bw u. doppelt Bw</t>
  </si>
  <si>
    <t>Super-Rail Plus Bw + Gel</t>
  </si>
  <si>
    <t>H1</t>
  </si>
  <si>
    <t>H2</t>
  </si>
  <si>
    <t>H4b</t>
  </si>
  <si>
    <t>L4b, H4b</t>
  </si>
  <si>
    <t>einreihige Anordnung</t>
  </si>
  <si>
    <t>zweireihige Anordnung</t>
  </si>
  <si>
    <t>V wirkt auf Anschlussbewehrung: nur N aus M + indirekte V</t>
  </si>
  <si>
    <r>
      <t>γ</t>
    </r>
    <r>
      <rPr>
        <vertAlign val="subscript"/>
        <sz val="10"/>
        <rFont val="Arial"/>
        <family val="2"/>
      </rPr>
      <t>Ms,V</t>
    </r>
  </si>
  <si>
    <r>
      <t>V</t>
    </r>
    <r>
      <rPr>
        <b/>
        <vertAlign val="subscript"/>
        <sz val="10"/>
        <rFont val="Arial"/>
        <family val="2"/>
      </rPr>
      <t>Rd,s</t>
    </r>
  </si>
  <si>
    <r>
      <t>c</t>
    </r>
    <r>
      <rPr>
        <vertAlign val="subscript"/>
        <sz val="10"/>
        <rFont val="Arial"/>
        <family val="2"/>
      </rPr>
      <t>min gerissener Beton</t>
    </r>
  </si>
  <si>
    <r>
      <t>s</t>
    </r>
    <r>
      <rPr>
        <vertAlign val="subscript"/>
        <sz val="10"/>
        <rFont val="Arial"/>
        <family val="2"/>
      </rPr>
      <t>min gerissener Beton</t>
    </r>
  </si>
  <si>
    <r>
      <t>c</t>
    </r>
    <r>
      <rPr>
        <vertAlign val="subscript"/>
        <sz val="10"/>
        <rFont val="Arial"/>
        <family val="2"/>
      </rPr>
      <t>min ungerissener Beton</t>
    </r>
  </si>
  <si>
    <r>
      <t>s</t>
    </r>
    <r>
      <rPr>
        <vertAlign val="subscript"/>
        <sz val="10"/>
        <rFont val="Arial"/>
        <family val="2"/>
      </rPr>
      <t>min ungerissener Beton</t>
    </r>
  </si>
  <si>
    <r>
      <t>N</t>
    </r>
    <r>
      <rPr>
        <b/>
        <vertAlign val="subscript"/>
        <sz val="10"/>
        <rFont val="Arial"/>
        <family val="2"/>
      </rPr>
      <t>Rd,s</t>
    </r>
  </si>
  <si>
    <r>
      <t>N</t>
    </r>
    <r>
      <rPr>
        <b/>
        <vertAlign val="subscript"/>
        <sz val="10"/>
        <rFont val="Arial"/>
        <family val="2"/>
      </rPr>
      <t>Rd,Rand</t>
    </r>
  </si>
  <si>
    <r>
      <t>N</t>
    </r>
    <r>
      <rPr>
        <b/>
        <vertAlign val="subscript"/>
        <sz val="10"/>
        <rFont val="Arial"/>
        <family val="2"/>
      </rPr>
      <t>Rd</t>
    </r>
  </si>
  <si>
    <r>
      <t>N</t>
    </r>
    <r>
      <rPr>
        <b/>
        <vertAlign val="subscript"/>
        <sz val="10"/>
        <rFont val="Arial"/>
        <family val="2"/>
      </rPr>
      <t>Sd,Rand</t>
    </r>
  </si>
  <si>
    <r>
      <t>V</t>
    </r>
    <r>
      <rPr>
        <b/>
        <vertAlign val="subscript"/>
        <sz val="10"/>
        <rFont val="Arial"/>
        <family val="2"/>
      </rPr>
      <t>Sd,s,x/y; Rand</t>
    </r>
  </si>
  <si>
    <r>
      <t>γ</t>
    </r>
    <r>
      <rPr>
        <vertAlign val="subscript"/>
        <sz val="10"/>
        <rFont val="Arial"/>
        <family val="2"/>
      </rPr>
      <t>Mcp</t>
    </r>
  </si>
  <si>
    <r>
      <t>V</t>
    </r>
    <r>
      <rPr>
        <b/>
        <vertAlign val="subscript"/>
        <sz val="10"/>
        <rFont val="Arial"/>
        <family val="2"/>
      </rPr>
      <t>Sd,x/y, Rand</t>
    </r>
  </si>
  <si>
    <r>
      <t>V</t>
    </r>
    <r>
      <rPr>
        <b/>
        <vertAlign val="subscript"/>
        <sz val="10"/>
        <rFont val="Arial"/>
        <family val="2"/>
      </rPr>
      <t>Sd,y, Mitte</t>
    </r>
  </si>
  <si>
    <r>
      <t>V</t>
    </r>
    <r>
      <rPr>
        <b/>
        <vertAlign val="subscript"/>
        <sz val="10"/>
        <rFont val="Arial"/>
        <family val="2"/>
      </rPr>
      <t>Sd,s,y; Mitte</t>
    </r>
  </si>
  <si>
    <r>
      <t>N</t>
    </r>
    <r>
      <rPr>
        <b/>
        <vertAlign val="subscript"/>
        <sz val="10"/>
        <rFont val="Arial"/>
        <family val="2"/>
      </rPr>
      <t>Rd,Mitte</t>
    </r>
  </si>
  <si>
    <r>
      <t>N</t>
    </r>
    <r>
      <rPr>
        <b/>
        <vertAlign val="subscript"/>
        <sz val="10"/>
        <rFont val="Arial"/>
        <family val="2"/>
      </rPr>
      <t>Sd,Mitte</t>
    </r>
  </si>
  <si>
    <r>
      <t>γ</t>
    </r>
    <r>
      <rPr>
        <vertAlign val="subscript"/>
        <sz val="10"/>
        <rFont val="Arial"/>
        <family val="2"/>
      </rPr>
      <t xml:space="preserve">Mp = </t>
    </r>
    <r>
      <rPr>
        <sz val="10"/>
        <rFont val="Symbol"/>
        <family val="1"/>
        <charset val="2"/>
      </rPr>
      <t>g</t>
    </r>
    <r>
      <rPr>
        <vertAlign val="subscript"/>
        <sz val="10"/>
        <rFont val="Arial"/>
        <family val="2"/>
      </rPr>
      <t>c</t>
    </r>
  </si>
  <si>
    <r>
      <t>d</t>
    </r>
    <r>
      <rPr>
        <vertAlign val="subscript"/>
        <sz val="10"/>
        <color theme="0" tint="-0.34998626667073579"/>
        <rFont val="Arial"/>
        <family val="2"/>
      </rPr>
      <t>a</t>
    </r>
  </si>
  <si>
    <r>
      <t>A</t>
    </r>
    <r>
      <rPr>
        <vertAlign val="subscript"/>
        <sz val="10"/>
        <color theme="0" tint="-0.34998626667073579"/>
        <rFont val="Arial"/>
        <family val="2"/>
      </rPr>
      <t>Kopfbolzen</t>
    </r>
  </si>
  <si>
    <r>
      <t>n x f</t>
    </r>
    <r>
      <rPr>
        <vertAlign val="subscript"/>
        <sz val="10"/>
        <color theme="0" tint="-0.34998626667073579"/>
        <rFont val="Arial"/>
        <family val="2"/>
      </rPr>
      <t>ck,cube</t>
    </r>
  </si>
  <si>
    <r>
      <t>[N/mm</t>
    </r>
    <r>
      <rPr>
        <vertAlign val="superscript"/>
        <sz val="10"/>
        <color theme="0" tint="-0.34998626667073579"/>
        <rFont val="Arial"/>
        <family val="2"/>
      </rPr>
      <t>2</t>
    </r>
    <r>
      <rPr>
        <sz val="10"/>
        <color theme="0" tint="-0.34998626667073579"/>
        <rFont val="Arial"/>
        <family val="2"/>
      </rPr>
      <t>]</t>
    </r>
  </si>
  <si>
    <r>
      <t>N</t>
    </r>
    <r>
      <rPr>
        <b/>
        <vertAlign val="subscript"/>
        <sz val="10"/>
        <color theme="0" tint="-0.34998626667073579"/>
        <rFont val="Arial"/>
        <family val="2"/>
      </rPr>
      <t>Rd,L</t>
    </r>
  </si>
  <si>
    <t>Kopfpressung kann entfallen weil gleich mit Herausziehen!</t>
  </si>
  <si>
    <r>
      <t>N</t>
    </r>
    <r>
      <rPr>
        <b/>
        <vertAlign val="subscript"/>
        <sz val="10"/>
        <rFont val="Arial"/>
        <family val="2"/>
      </rPr>
      <t>Sd, Rand</t>
    </r>
  </si>
  <si>
    <r>
      <t>N</t>
    </r>
    <r>
      <rPr>
        <b/>
        <vertAlign val="subscript"/>
        <sz val="10"/>
        <rFont val="Arial"/>
        <family val="2"/>
      </rPr>
      <t>Sd, Mitte</t>
    </r>
  </si>
  <si>
    <r>
      <t>V</t>
    </r>
    <r>
      <rPr>
        <b/>
        <vertAlign val="subscript"/>
        <sz val="10"/>
        <rFont val="Arial"/>
        <family val="2"/>
      </rPr>
      <t>Sd,s,y, Mitte</t>
    </r>
  </si>
  <si>
    <r>
      <t>V</t>
    </r>
    <r>
      <rPr>
        <b/>
        <vertAlign val="subscript"/>
        <sz val="10"/>
        <rFont val="Arial"/>
        <family val="2"/>
      </rPr>
      <t>Sd,s,x/y, Rand</t>
    </r>
  </si>
  <si>
    <r>
      <t>V</t>
    </r>
    <r>
      <rPr>
        <b/>
        <vertAlign val="subscript"/>
        <sz val="10"/>
        <rFont val="Arial"/>
        <family val="2"/>
      </rPr>
      <t>Sd,y,Mitte</t>
    </r>
  </si>
  <si>
    <r>
      <t>V</t>
    </r>
    <r>
      <rPr>
        <b/>
        <vertAlign val="subscript"/>
        <sz val="10"/>
        <rFont val="Arial"/>
        <family val="2"/>
      </rPr>
      <t>Sd,x/y,Rand</t>
    </r>
  </si>
  <si>
    <t>Charakteristische Zugtragfähigkeit lt. ETA</t>
  </si>
  <si>
    <t>Teilsicherheitsbeiwert lt. ETA</t>
  </si>
  <si>
    <t>Erhöhungsfaktoren lt. ETA</t>
  </si>
  <si>
    <t>Charakt. Zugtragfähigkeit lt. ETA</t>
  </si>
  <si>
    <t>Charakt. Quertragfähigkeit lt. ETA</t>
  </si>
  <si>
    <t>Faktor lt. ETA</t>
  </si>
  <si>
    <t>Computer Name</t>
  </si>
  <si>
    <t>Computer_Name</t>
  </si>
  <si>
    <t>E-Mail</t>
  </si>
  <si>
    <t>Warning</t>
  </si>
  <si>
    <t>Region</t>
  </si>
  <si>
    <t>DE</t>
  </si>
  <si>
    <t>planer-support@hilti.com</t>
  </si>
  <si>
    <t>AT</t>
  </si>
  <si>
    <t xml:space="preserve">atteamengineering@hilti.com </t>
  </si>
  <si>
    <t>CH</t>
  </si>
  <si>
    <t>CHTeamInhaustechnik@hilti.com</t>
  </si>
  <si>
    <t>NL</t>
  </si>
  <si>
    <t>NLTeamTechnischAdvies@hilti.com</t>
  </si>
  <si>
    <t>PL</t>
  </si>
  <si>
    <t>PROFISpomoc.pl@hilti.com</t>
  </si>
  <si>
    <t>Achtung, die erforderliche Autorisierung fehlt. Wenn Sie das Tool verwenden möchten, dann kontaktieren sie Hilti unter :</t>
  </si>
  <si>
    <t>USER-PC</t>
  </si>
  <si>
    <t>Domain</t>
  </si>
  <si>
    <t>User Credentials</t>
  </si>
  <si>
    <t>max-boegl.biz</t>
  </si>
  <si>
    <t>max-boegl</t>
  </si>
  <si>
    <t>MAX-BOEGL</t>
  </si>
  <si>
    <t>K136568MO</t>
  </si>
  <si>
    <t>ssiftgn.local</t>
  </si>
  <si>
    <t>Pos.</t>
  </si>
  <si>
    <t>Bezeichnung</t>
  </si>
  <si>
    <t>Menge</t>
  </si>
  <si>
    <t>Einheit</t>
  </si>
  <si>
    <t>EP</t>
  </si>
  <si>
    <t>GP</t>
  </si>
  <si>
    <t>Herstellerinformation</t>
  </si>
  <si>
    <t>1.</t>
  </si>
  <si>
    <t>Stk</t>
  </si>
  <si>
    <t>Gesamt Netto</t>
  </si>
  <si>
    <t>MwSt.</t>
  </si>
  <si>
    <t>Gesamt Brutto</t>
  </si>
  <si>
    <t>Hilti Kappenverankerung HCC-HIT-V(-C)-R</t>
  </si>
  <si>
    <t>http://www.ausschreiben.de/katalog/hilti/position/85</t>
  </si>
  <si>
    <t>1,70 &lt; b ≤ 2,35 m</t>
  </si>
  <si>
    <t>2,35 &lt; b ≤ 2,85 m</t>
  </si>
  <si>
    <t>2,85 &lt; b ≤ 3,35 m</t>
  </si>
  <si>
    <t>Querkraft+Zug, Stahlversagen</t>
  </si>
  <si>
    <t>Verb.-sp. RE 500 alle Bohrverfahren</t>
  </si>
  <si>
    <t>Verb.-Sp. RE 500 V3</t>
  </si>
  <si>
    <t>Kopfbolzenart</t>
  </si>
  <si>
    <t>gewählt</t>
  </si>
  <si>
    <r>
      <t>Betondeckung Kopfbolzen c</t>
    </r>
    <r>
      <rPr>
        <vertAlign val="subscript"/>
        <sz val="10"/>
        <rFont val="Arial"/>
        <family val="2"/>
      </rPr>
      <t>nom</t>
    </r>
  </si>
  <si>
    <r>
      <t>Verankerungslänge h</t>
    </r>
    <r>
      <rPr>
        <vertAlign val="subscript"/>
        <sz val="10"/>
        <rFont val="Arial"/>
        <family val="2"/>
      </rPr>
      <t>K,ef</t>
    </r>
  </si>
  <si>
    <r>
      <t>Höhe Kopfbolzen H</t>
    </r>
    <r>
      <rPr>
        <vertAlign val="subscript"/>
        <sz val="10"/>
        <rFont val="Arial"/>
        <family val="2"/>
      </rPr>
      <t>K1</t>
    </r>
  </si>
  <si>
    <t>An gewählt</t>
  </si>
  <si>
    <t>dp gew.</t>
  </si>
  <si>
    <t>Durchmesser Kopf dp</t>
  </si>
  <si>
    <t>Wind auf Lärmschutzwand</t>
  </si>
  <si>
    <t>Anprall Schrammbord</t>
  </si>
  <si>
    <t>Sonderfall ohne indirekte Einw.</t>
  </si>
  <si>
    <t>abhängig von Eingabe C23</t>
  </si>
  <si>
    <r>
      <t>Mindest-Dübellänge l</t>
    </r>
    <r>
      <rPr>
        <vertAlign val="subscript"/>
        <sz val="10"/>
        <rFont val="Arial"/>
        <family val="2"/>
      </rPr>
      <t xml:space="preserve">min </t>
    </r>
    <r>
      <rPr>
        <sz val="10"/>
        <rFont val="Arial"/>
        <family val="2"/>
      </rPr>
      <t>≥</t>
    </r>
  </si>
  <si>
    <t>System</t>
  </si>
  <si>
    <t>Aufhalte-
stufe</t>
  </si>
  <si>
    <r>
      <t>lokale 
Querkraft V</t>
    </r>
    <r>
      <rPr>
        <b/>
        <vertAlign val="subscript"/>
        <sz val="10"/>
        <rFont val="Arial"/>
        <family val="2"/>
      </rPr>
      <t>sd</t>
    </r>
    <r>
      <rPr>
        <b/>
        <sz val="10"/>
        <rFont val="Arial"/>
        <family val="2"/>
      </rPr>
      <t xml:space="preserve"> 
[kN/m]</t>
    </r>
  </si>
  <si>
    <t>EDSP 1.33 Bw + Geländer</t>
  </si>
  <si>
    <t>Eco-Safe Bw</t>
  </si>
  <si>
    <t>L1, H1</t>
  </si>
  <si>
    <t>Super-Rail 
Pro Bw</t>
  </si>
  <si>
    <t>Kappenbeton C25/30</t>
  </si>
  <si>
    <t>Kappenbeton C30/37</t>
  </si>
  <si>
    <t>Kappenbeton C40/50</t>
  </si>
  <si>
    <t>kein Betonversagen</t>
  </si>
  <si>
    <t>Mega Rail Bw</t>
  </si>
  <si>
    <t>LT 101 Bw</t>
  </si>
  <si>
    <t>-</t>
  </si>
  <si>
    <t>DB 80AS-R Bw</t>
  </si>
  <si>
    <t>DB 100AS-R Bw</t>
  </si>
  <si>
    <t>Doppelseitige BSWF STEP 
Typ 90 Bw</t>
  </si>
  <si>
    <t>Direkte Einwirkungen:</t>
  </si>
  <si>
    <r>
      <t>Querkraft V</t>
    </r>
    <r>
      <rPr>
        <vertAlign val="subscript"/>
        <sz val="10"/>
        <rFont val="Arial"/>
        <family val="2"/>
      </rPr>
      <t xml:space="preserve">Sd,y, direkt </t>
    </r>
    <r>
      <rPr>
        <sz val="10"/>
        <rFont val="Arial"/>
        <family val="2"/>
      </rPr>
      <t>:</t>
    </r>
  </si>
  <si>
    <t>Nachträgliche Kappenverankerung</t>
  </si>
  <si>
    <t>maßg. Dicke</t>
  </si>
  <si>
    <r>
      <t>lokales 
Moment 
M</t>
    </r>
    <r>
      <rPr>
        <b/>
        <vertAlign val="subscript"/>
        <sz val="10"/>
        <rFont val="Arial"/>
        <family val="2"/>
      </rPr>
      <t>sd</t>
    </r>
    <r>
      <rPr>
        <b/>
        <sz val="10"/>
        <rFont val="Arial"/>
        <family val="2"/>
      </rPr>
      <t xml:space="preserve"> 
[kNm/m]</t>
    </r>
  </si>
  <si>
    <r>
      <t>lokales 
Moment 
M</t>
    </r>
    <r>
      <rPr>
        <b/>
        <vertAlign val="subscript"/>
        <sz val="10"/>
        <rFont val="Arial"/>
        <family val="2"/>
      </rPr>
      <t>sd</t>
    </r>
    <r>
      <rPr>
        <b/>
        <sz val="10"/>
        <rFont val="Arial"/>
        <family val="2"/>
      </rPr>
      <t xml:space="preserve"> 
[kNm/
Pfosten]</t>
    </r>
  </si>
  <si>
    <r>
      <t>lokale 
Querkraft 
V</t>
    </r>
    <r>
      <rPr>
        <b/>
        <vertAlign val="subscript"/>
        <sz val="10"/>
        <rFont val="Arial"/>
        <family val="2"/>
      </rPr>
      <t>sd</t>
    </r>
    <r>
      <rPr>
        <b/>
        <sz val="10"/>
        <rFont val="Arial"/>
        <family val="2"/>
      </rPr>
      <t xml:space="preserve"> 
[kN/
Pfosten]</t>
    </r>
  </si>
  <si>
    <r>
      <t>100</t>
    </r>
    <r>
      <rPr>
        <b/>
        <vertAlign val="superscript"/>
        <sz val="10"/>
        <color theme="1"/>
        <rFont val="Arial"/>
        <family val="2"/>
      </rPr>
      <t xml:space="preserve"> 4)</t>
    </r>
  </si>
  <si>
    <r>
      <t xml:space="preserve">225 </t>
    </r>
    <r>
      <rPr>
        <b/>
        <vertAlign val="superscript"/>
        <sz val="10"/>
        <rFont val="Arial"/>
        <family val="2"/>
      </rPr>
      <t>4)</t>
    </r>
  </si>
  <si>
    <t>Horizontal-kraft 
H 
[kN]</t>
  </si>
  <si>
    <t>Vertikal-kraft 
V 
[kN]</t>
  </si>
  <si>
    <t>hTef</t>
  </si>
  <si>
    <t>cnom</t>
  </si>
  <si>
    <t xml:space="preserve">Mindest-Dübellänge </t>
  </si>
  <si>
    <t>benötigte Längen bei:</t>
  </si>
  <si>
    <t xml:space="preserve">hT,ef = 140 mm </t>
  </si>
  <si>
    <t>HK = 145/150 und 230 mm</t>
  </si>
  <si>
    <t>einlag.+V13/zweilagig +V13</t>
  </si>
  <si>
    <t>cnom = 0</t>
  </si>
  <si>
    <t>cnom = 30</t>
  </si>
  <si>
    <t>cnom = 50</t>
  </si>
  <si>
    <t>cnom = 60</t>
  </si>
  <si>
    <t>145/150</t>
  </si>
  <si>
    <t xml:space="preserve">Vorschlag: </t>
  </si>
  <si>
    <t>M16: 240 und 300</t>
  </si>
  <si>
    <t>M20/24: 240 und 250 wird 260, 270 kann auch auf 300 mit hT=170 gebracht werden: ergibt je 4 Größen: 260 / 300 / 330 / 350</t>
  </si>
  <si>
    <t>Dübel-Durchm.</t>
  </si>
  <si>
    <t>D gewählt</t>
  </si>
  <si>
    <t>Dübel-Ø</t>
  </si>
  <si>
    <r>
      <t xml:space="preserve">Einwirkungen auf 
</t>
    </r>
    <r>
      <rPr>
        <b/>
        <u/>
        <sz val="10"/>
        <rFont val="Arial"/>
        <family val="2"/>
      </rPr>
      <t>Kappe</t>
    </r>
    <r>
      <rPr>
        <b/>
        <sz val="10"/>
        <rFont val="Arial"/>
        <family val="2"/>
      </rPr>
      <t xml:space="preserve"> 
lt. Gütegemeinschaft Stahlschutzplanken e.V. </t>
    </r>
    <r>
      <rPr>
        <b/>
        <vertAlign val="superscript"/>
        <sz val="10"/>
        <rFont val="Arial"/>
        <family val="2"/>
      </rPr>
      <t xml:space="preserve">2) </t>
    </r>
    <r>
      <rPr>
        <b/>
        <sz val="10"/>
        <rFont val="Arial"/>
        <family val="2"/>
      </rPr>
      <t xml:space="preserve">
</t>
    </r>
    <r>
      <rPr>
        <b/>
        <sz val="10"/>
        <rFont val="Symbol"/>
        <family val="1"/>
        <charset val="2"/>
      </rPr>
      <t>g</t>
    </r>
    <r>
      <rPr>
        <b/>
        <sz val="10"/>
        <rFont val="Arial"/>
        <family val="2"/>
      </rPr>
      <t xml:space="preserve"> = 1,25</t>
    </r>
  </si>
  <si>
    <r>
      <t xml:space="preserve">Einwirkungen für 
</t>
    </r>
    <r>
      <rPr>
        <b/>
        <u/>
        <sz val="10"/>
        <rFont val="Arial"/>
        <family val="2"/>
      </rPr>
      <t>Bauwerksbemessung</t>
    </r>
    <r>
      <rPr>
        <b/>
        <sz val="10"/>
        <rFont val="Arial"/>
        <family val="2"/>
      </rPr>
      <t xml:space="preserve"> 
lt. Gütegemeinschaft Stahlschutzplanken e.V. </t>
    </r>
    <r>
      <rPr>
        <b/>
        <vertAlign val="superscript"/>
        <sz val="10"/>
        <rFont val="Arial"/>
        <family val="2"/>
      </rPr>
      <t>3)</t>
    </r>
    <r>
      <rPr>
        <b/>
        <sz val="10"/>
        <rFont val="Arial"/>
        <family val="2"/>
      </rPr>
      <t xml:space="preserve">
</t>
    </r>
    <r>
      <rPr>
        <b/>
        <sz val="10"/>
        <rFont val="Symbol"/>
        <family val="1"/>
        <charset val="2"/>
      </rPr>
      <t>g</t>
    </r>
    <r>
      <rPr>
        <b/>
        <sz val="10"/>
        <rFont val="Arial"/>
        <family val="2"/>
      </rPr>
      <t xml:space="preserve"> = 1,25</t>
    </r>
  </si>
  <si>
    <t>Auswahl-Länge lt. Artikel</t>
  </si>
  <si>
    <t>Sechskantmutter M16</t>
  </si>
  <si>
    <t>Sechskantmutter M20</t>
  </si>
  <si>
    <t>Sechskantmutter M24</t>
  </si>
  <si>
    <t>An</t>
  </si>
  <si>
    <t>Kappenverankerung</t>
  </si>
  <si>
    <t>Dicht./Schutzbahn</t>
  </si>
  <si>
    <t>d kopf</t>
  </si>
  <si>
    <t>Dimension Kopf</t>
  </si>
  <si>
    <t>Schubschwelle</t>
  </si>
  <si>
    <t>Anschlussbewehrung</t>
  </si>
  <si>
    <t>Kappenverankerung HCC</t>
  </si>
  <si>
    <r>
      <t>V</t>
    </r>
    <r>
      <rPr>
        <vertAlign val="superscript"/>
        <sz val="10"/>
        <rFont val="Arial"/>
        <family val="2"/>
      </rPr>
      <t>0</t>
    </r>
    <r>
      <rPr>
        <vertAlign val="subscript"/>
        <sz val="10"/>
        <rFont val="Arial"/>
        <family val="2"/>
      </rPr>
      <t>Rk,c</t>
    </r>
  </si>
  <si>
    <r>
      <t>A</t>
    </r>
    <r>
      <rPr>
        <vertAlign val="superscript"/>
        <sz val="10"/>
        <rFont val="Arial"/>
        <family val="2"/>
      </rPr>
      <t>0</t>
    </r>
    <r>
      <rPr>
        <vertAlign val="subscript"/>
        <sz val="10"/>
        <rFont val="Arial"/>
        <family val="2"/>
      </rPr>
      <t>c,V</t>
    </r>
  </si>
  <si>
    <r>
      <t>A</t>
    </r>
    <r>
      <rPr>
        <vertAlign val="subscript"/>
        <sz val="10"/>
        <rFont val="Arial"/>
        <family val="2"/>
      </rPr>
      <t>c,V</t>
    </r>
  </si>
  <si>
    <r>
      <t>ψ</t>
    </r>
    <r>
      <rPr>
        <vertAlign val="subscript"/>
        <sz val="10"/>
        <rFont val="Arial"/>
        <family val="2"/>
      </rPr>
      <t>s,V</t>
    </r>
  </si>
  <si>
    <r>
      <t>ψ</t>
    </r>
    <r>
      <rPr>
        <vertAlign val="subscript"/>
        <sz val="10"/>
        <rFont val="Arial"/>
        <family val="2"/>
      </rPr>
      <t>h,V</t>
    </r>
  </si>
  <si>
    <r>
      <t>ψ</t>
    </r>
    <r>
      <rPr>
        <vertAlign val="subscript"/>
        <sz val="10"/>
        <rFont val="Arial"/>
        <family val="2"/>
      </rPr>
      <t>α,V</t>
    </r>
  </si>
  <si>
    <r>
      <t>ψ</t>
    </r>
    <r>
      <rPr>
        <vertAlign val="subscript"/>
        <sz val="10"/>
        <rFont val="Arial"/>
        <family val="2"/>
      </rPr>
      <t>ec,V</t>
    </r>
  </si>
  <si>
    <r>
      <t>ψ</t>
    </r>
    <r>
      <rPr>
        <vertAlign val="subscript"/>
        <sz val="10"/>
        <rFont val="Arial"/>
        <family val="2"/>
      </rPr>
      <t>re,V</t>
    </r>
  </si>
  <si>
    <r>
      <t>V</t>
    </r>
    <r>
      <rPr>
        <vertAlign val="subscript"/>
        <sz val="10"/>
        <rFont val="Arial"/>
        <family val="2"/>
      </rPr>
      <t>Rk,c</t>
    </r>
  </si>
  <si>
    <r>
      <t>V</t>
    </r>
    <r>
      <rPr>
        <b/>
        <vertAlign val="subscript"/>
        <sz val="10"/>
        <rFont val="Arial"/>
        <family val="2"/>
      </rPr>
      <t>Rd,c</t>
    </r>
  </si>
  <si>
    <t>Randabstand cT</t>
  </si>
  <si>
    <r>
      <t>V</t>
    </r>
    <r>
      <rPr>
        <b/>
        <vertAlign val="subscript"/>
        <sz val="10"/>
        <rFont val="Arial"/>
        <family val="2"/>
      </rPr>
      <t>Rd,cp/c maßgeb,Mitte</t>
    </r>
  </si>
  <si>
    <t>Querkraft, Betonversagen</t>
  </si>
  <si>
    <r>
      <t>V</t>
    </r>
    <r>
      <rPr>
        <vertAlign val="subscript"/>
        <sz val="10"/>
        <rFont val="Arial"/>
        <family val="2"/>
      </rPr>
      <t>Rd,c/cp</t>
    </r>
  </si>
  <si>
    <r>
      <t>V</t>
    </r>
    <r>
      <rPr>
        <b/>
        <vertAlign val="subscript"/>
        <sz val="10"/>
        <rFont val="Arial"/>
        <family val="2"/>
      </rPr>
      <t>Rd,cp/c maßgeb,Rand</t>
    </r>
  </si>
  <si>
    <r>
      <t>V</t>
    </r>
    <r>
      <rPr>
        <vertAlign val="superscript"/>
        <sz val="10"/>
        <color theme="0" tint="-0.249977111117893"/>
        <rFont val="Arial"/>
        <family val="2"/>
      </rPr>
      <t>0</t>
    </r>
    <r>
      <rPr>
        <vertAlign val="subscript"/>
        <sz val="10"/>
        <color theme="0" tint="-0.249977111117893"/>
        <rFont val="Arial"/>
        <family val="2"/>
      </rPr>
      <t>Rk,c</t>
    </r>
  </si>
  <si>
    <r>
      <t>A</t>
    </r>
    <r>
      <rPr>
        <vertAlign val="superscript"/>
        <sz val="10"/>
        <color theme="0" tint="-0.249977111117893"/>
        <rFont val="Arial"/>
        <family val="2"/>
      </rPr>
      <t>0</t>
    </r>
    <r>
      <rPr>
        <vertAlign val="subscript"/>
        <sz val="10"/>
        <color theme="0" tint="-0.249977111117893"/>
        <rFont val="Arial"/>
        <family val="2"/>
      </rPr>
      <t>c,V</t>
    </r>
  </si>
  <si>
    <r>
      <t>A</t>
    </r>
    <r>
      <rPr>
        <vertAlign val="subscript"/>
        <sz val="10"/>
        <color theme="0" tint="-0.249977111117893"/>
        <rFont val="Arial"/>
        <family val="2"/>
      </rPr>
      <t>c,V</t>
    </r>
  </si>
  <si>
    <r>
      <t>ψ</t>
    </r>
    <r>
      <rPr>
        <vertAlign val="subscript"/>
        <sz val="10"/>
        <color theme="0" tint="-0.249977111117893"/>
        <rFont val="Arial"/>
        <family val="2"/>
      </rPr>
      <t>s,V</t>
    </r>
  </si>
  <si>
    <r>
      <t>ψ</t>
    </r>
    <r>
      <rPr>
        <vertAlign val="subscript"/>
        <sz val="10"/>
        <color theme="0" tint="-0.249977111117893"/>
        <rFont val="Arial"/>
        <family val="2"/>
      </rPr>
      <t>h,V</t>
    </r>
  </si>
  <si>
    <r>
      <t>ψ</t>
    </r>
    <r>
      <rPr>
        <vertAlign val="subscript"/>
        <sz val="10"/>
        <color theme="0" tint="-0.249977111117893"/>
        <rFont val="Arial"/>
        <family val="2"/>
      </rPr>
      <t>α,V</t>
    </r>
  </si>
  <si>
    <r>
      <t>ψ</t>
    </r>
    <r>
      <rPr>
        <vertAlign val="subscript"/>
        <sz val="10"/>
        <color theme="0" tint="-0.249977111117893"/>
        <rFont val="Arial"/>
        <family val="2"/>
      </rPr>
      <t>ec,V</t>
    </r>
  </si>
  <si>
    <r>
      <t>ψ</t>
    </r>
    <r>
      <rPr>
        <vertAlign val="subscript"/>
        <sz val="10"/>
        <color theme="0" tint="-0.249977111117893"/>
        <rFont val="Arial"/>
        <family val="2"/>
      </rPr>
      <t>re,V</t>
    </r>
  </si>
  <si>
    <r>
      <t>V</t>
    </r>
    <r>
      <rPr>
        <vertAlign val="subscript"/>
        <sz val="10"/>
        <color theme="0" tint="-0.249977111117893"/>
        <rFont val="Arial"/>
        <family val="2"/>
      </rPr>
      <t>Rk,c</t>
    </r>
  </si>
  <si>
    <r>
      <t>γ</t>
    </r>
    <r>
      <rPr>
        <vertAlign val="subscript"/>
        <sz val="10"/>
        <color theme="0" tint="-0.249977111117893"/>
        <rFont val="Arial"/>
        <family val="2"/>
      </rPr>
      <t>Mc</t>
    </r>
  </si>
  <si>
    <r>
      <t>V</t>
    </r>
    <r>
      <rPr>
        <b/>
        <vertAlign val="subscript"/>
        <sz val="10"/>
        <color theme="0" tint="-0.249977111117893"/>
        <rFont val="Arial"/>
        <family val="2"/>
      </rPr>
      <t>Rd,c</t>
    </r>
  </si>
  <si>
    <r>
      <t>V</t>
    </r>
    <r>
      <rPr>
        <vertAlign val="subscript"/>
        <sz val="10"/>
        <rFont val="Arial"/>
        <family val="2"/>
      </rPr>
      <t>Rd,c</t>
    </r>
  </si>
  <si>
    <r>
      <t>b</t>
    </r>
    <r>
      <rPr>
        <b/>
        <vertAlign val="subscript"/>
        <sz val="10"/>
        <rFont val="Arial"/>
        <family val="2"/>
      </rPr>
      <t>V,c</t>
    </r>
  </si>
  <si>
    <t>Faktor</t>
  </si>
  <si>
    <t>Anprall Fahrzeugrückhaltesystem</t>
  </si>
  <si>
    <r>
      <t>Randabstand c</t>
    </r>
    <r>
      <rPr>
        <b/>
        <vertAlign val="subscript"/>
        <sz val="12"/>
        <color theme="0"/>
        <rFont val="Arial"/>
        <family val="2"/>
      </rPr>
      <t>T</t>
    </r>
    <r>
      <rPr>
        <b/>
        <sz val="12"/>
        <color theme="0"/>
        <rFont val="Arial"/>
        <family val="2"/>
      </rPr>
      <t xml:space="preserve"> bzw. Reihenabstand s</t>
    </r>
    <r>
      <rPr>
        <b/>
        <vertAlign val="subscript"/>
        <sz val="12"/>
        <color theme="0"/>
        <rFont val="Arial"/>
        <family val="2"/>
      </rPr>
      <t xml:space="preserve">1 </t>
    </r>
    <r>
      <rPr>
        <b/>
        <sz val="12"/>
        <color theme="0"/>
        <rFont val="Arial"/>
        <family val="2"/>
      </rPr>
      <t>prüfen.</t>
    </r>
  </si>
  <si>
    <t>Dichtung/Schutzbahn</t>
  </si>
  <si>
    <t>Querkraft-Einwirkung</t>
  </si>
  <si>
    <t>Zugkraft-Einwirkung</t>
  </si>
  <si>
    <t>Ausnutzungsgrad Zugkraft-Einwirkung</t>
  </si>
  <si>
    <t>Randbereich (6m vor ÜKO)</t>
  </si>
  <si>
    <t>Kombinierter Ausnutzungsgrad Zugkraft- und Querkraft-Einwirkung Mittelbereich</t>
  </si>
  <si>
    <t>Kombinierter Ausnutzungsgrad Zugkraft- und Querkraft-Einwirkung Randbereich</t>
  </si>
  <si>
    <t>Ausnutzungsgrad Querkraft-Einwirkung</t>
  </si>
  <si>
    <t>Ausnutzungsgrad Zugkraft-Eiwirkung</t>
  </si>
  <si>
    <t>Kombinierter Ausnutzungsgrad Zugkraft- und Querkraft-Einwirkung</t>
  </si>
  <si>
    <t>Kombinierter Ausnutzungrad Zugkraft- und Querkraft-Einwirkung</t>
  </si>
  <si>
    <t>Randbereich (je 6 m vor ÜKO)</t>
  </si>
  <si>
    <t>C 20/25 (gerissen)</t>
  </si>
  <si>
    <t>C 20/25 (LP); gerissen</t>
  </si>
  <si>
    <t>C 25/30 (LP); gerissen</t>
  </si>
  <si>
    <t>C 30/37 (LP); gerissen</t>
  </si>
  <si>
    <t>C 35/45 (LP); gerissen</t>
  </si>
  <si>
    <t>C 40/50 (LP); gerissen</t>
  </si>
  <si>
    <t>C 45/55 (LP); gerissen</t>
  </si>
  <si>
    <t>C 50/60 (LP); gerissen</t>
  </si>
  <si>
    <t>C 25/30; gerissen</t>
  </si>
  <si>
    <t>C 30/37; gerissen</t>
  </si>
  <si>
    <t>C 35/45; gerissen</t>
  </si>
  <si>
    <t>C 40/50; gerissen</t>
  </si>
  <si>
    <t>C 45/55; gerissen</t>
  </si>
  <si>
    <t>C 50/60; gerissen</t>
  </si>
  <si>
    <t>Projekt- und Montage-Übersicht</t>
  </si>
  <si>
    <t>Projekt- und Montageübersicht</t>
  </si>
  <si>
    <t>Verwendbarkeits- und Anwendbarkeitsnachweise / Prüfungen</t>
  </si>
  <si>
    <t>Anprall Schrammbord: (nach DIN EN 1991-2, Abschn. 4.7.3.2 und RIZ-ING Kap 7)</t>
  </si>
  <si>
    <r>
      <rPr>
        <b/>
        <vertAlign val="superscript"/>
        <sz val="8"/>
        <rFont val="Arial"/>
        <family val="2"/>
      </rPr>
      <t>3)</t>
    </r>
    <r>
      <rPr>
        <b/>
        <sz val="8"/>
        <rFont val="Arial"/>
        <family val="2"/>
      </rPr>
      <t xml:space="preserve"> Quelle: DIN EN 1991-2, 4.7.3.3 Absatz (1) und Gütegemeinschaft Stahlschutzplanken e.V., Einwirkungen für die Bauwerksbemessung</t>
    </r>
  </si>
  <si>
    <r>
      <rPr>
        <b/>
        <vertAlign val="superscript"/>
        <sz val="8"/>
        <rFont val="Arial"/>
        <family val="2"/>
      </rPr>
      <t>4)</t>
    </r>
    <r>
      <rPr>
        <b/>
        <sz val="8"/>
        <rFont val="Arial"/>
        <family val="2"/>
      </rPr>
      <t xml:space="preserve"> Werte nicht bekannt, daher konservative Empfehlung der Gütegemeinschaft Stahlschutzplanken e.V.</t>
    </r>
  </si>
  <si>
    <r>
      <t>Abstand HCC: Randbereich (6 m vor ÜKO) s</t>
    </r>
    <r>
      <rPr>
        <vertAlign val="subscript"/>
        <sz val="10"/>
        <rFont val="Arial"/>
        <family val="2"/>
      </rPr>
      <t>x,Rand</t>
    </r>
  </si>
  <si>
    <r>
      <t>Abstand HCC: Mittelbereich s</t>
    </r>
    <r>
      <rPr>
        <vertAlign val="subscript"/>
        <sz val="10"/>
        <rFont val="Arial"/>
        <family val="2"/>
      </rPr>
      <t>x,Mitte</t>
    </r>
  </si>
  <si>
    <t>Dichtungsschicht</t>
  </si>
  <si>
    <t>V=0 kommt vor, wenn keine indirekten Einw. und Anschlussbew. Vorhanden</t>
  </si>
  <si>
    <r>
      <t>b</t>
    </r>
    <r>
      <rPr>
        <b/>
        <vertAlign val="subscript"/>
        <sz val="10"/>
        <rFont val="Arial"/>
        <family val="2"/>
      </rPr>
      <t>N/V</t>
    </r>
  </si>
  <si>
    <r>
      <t>b</t>
    </r>
    <r>
      <rPr>
        <b/>
        <vertAlign val="subscript"/>
        <sz val="10"/>
        <rFont val="Arial"/>
        <family val="2"/>
      </rPr>
      <t>N/</t>
    </r>
    <r>
      <rPr>
        <b/>
        <vertAlign val="subscript"/>
        <sz val="10"/>
        <rFont val="Arial"/>
        <family val="2"/>
      </rPr>
      <t>V</t>
    </r>
  </si>
  <si>
    <t>Dicke ges.</t>
  </si>
  <si>
    <t>[m]</t>
  </si>
  <si>
    <t xml:space="preserve">gewählt: </t>
  </si>
  <si>
    <r>
      <rPr>
        <b/>
        <u/>
        <sz val="11"/>
        <rFont val="Arial"/>
        <family val="2"/>
      </rPr>
      <t>Indirekte Einwirkungen:</t>
    </r>
    <r>
      <rPr>
        <b/>
        <sz val="10"/>
        <rFont val="Arial"/>
        <family val="2"/>
      </rPr>
      <t xml:space="preserve">
</t>
    </r>
    <r>
      <rPr>
        <sz val="9"/>
        <rFont val="Arial"/>
        <family val="2"/>
      </rPr>
      <t>(Aus numerischen Berechnungen auf Basis Änderung konstanter Temperaturanteil aus Klima, konstantem Temperaturunterschied zwischen verschiedenen Bauteilen sowie Kriechen und Schwinden in Abhängigkeit von Kappenlänge, -querschnitt, Kappenausführung, Dübelanzahl und -steifigkeit; Prof. Dr. U. Freundt, Gutachten zur Befestigung von Brückenkappen mittels Hilti Kappenverankerung HCC, Weimar 30.7.2015)</t>
    </r>
  </si>
  <si>
    <r>
      <rPr>
        <b/>
        <u/>
        <sz val="11"/>
        <rFont val="Arial"/>
        <family val="2"/>
      </rPr>
      <t>Indirekte Einwirkungen:</t>
    </r>
    <r>
      <rPr>
        <b/>
        <sz val="10"/>
        <rFont val="Arial"/>
        <family val="2"/>
      </rPr>
      <t xml:space="preserve">
</t>
    </r>
    <r>
      <rPr>
        <sz val="9"/>
        <rFont val="Arial"/>
        <family val="2"/>
      </rPr>
      <t>(Aus numerischen Berechnungen auf Basis Änderung konstanter Temperaturanteil aus Klima, konstantem Temperaturunterschied zwischen verschiedenen Bauteilen sowie Kriechen und Schwinden in Abhängigkeit von Kappenlänge, -querschnitt, Kappenausführung, Dübelanzahl und -steifigkeit; Prof. Dr. U. Freundt, Gutachten zur Befestigung von Brückenkappen mittels Hilti Kappenverankerung HCC, Weimar 30.7.2015)</t>
    </r>
    <r>
      <rPr>
        <sz val="10"/>
        <rFont val="Arial"/>
        <family val="2"/>
      </rPr>
      <t xml:space="preserve">
</t>
    </r>
  </si>
  <si>
    <t>Widerstände / HCC</t>
  </si>
  <si>
    <t>Resultierende Einwirkungen / HCC</t>
  </si>
  <si>
    <t>Ausschreibungstexte für Hilti Kappenverankerung HCC:</t>
  </si>
  <si>
    <t>2 do</t>
  </si>
  <si>
    <r>
      <t>h</t>
    </r>
    <r>
      <rPr>
        <vertAlign val="subscript"/>
        <sz val="10"/>
        <color indexed="8"/>
        <rFont val="Arial"/>
        <family val="2"/>
      </rPr>
      <t>T,ef</t>
    </r>
  </si>
  <si>
    <r>
      <t>h</t>
    </r>
    <r>
      <rPr>
        <vertAlign val="subscript"/>
        <sz val="10"/>
        <color indexed="8"/>
        <rFont val="Arial"/>
        <family val="2"/>
      </rPr>
      <t>T,ef</t>
    </r>
    <r>
      <rPr>
        <sz val="10"/>
        <color indexed="8"/>
        <rFont val="Arial"/>
        <family val="2"/>
      </rPr>
      <t xml:space="preserve"> + 2 d</t>
    </r>
    <r>
      <rPr>
        <vertAlign val="subscript"/>
        <sz val="10"/>
        <color indexed="8"/>
        <rFont val="Arial"/>
        <family val="2"/>
      </rPr>
      <t>o</t>
    </r>
  </si>
  <si>
    <r>
      <t>Reihenabstand s</t>
    </r>
    <r>
      <rPr>
        <vertAlign val="subscript"/>
        <sz val="10"/>
        <rFont val="Arial"/>
        <family val="2"/>
      </rPr>
      <t>1</t>
    </r>
  </si>
  <si>
    <t>hat/Htef</t>
  </si>
  <si>
    <t>Summe</t>
  </si>
  <si>
    <r>
      <t>Bauteildicke Tragwerk H</t>
    </r>
    <r>
      <rPr>
        <vertAlign val="subscript"/>
        <sz val="10"/>
        <rFont val="Arial"/>
        <family val="2"/>
      </rPr>
      <t>T</t>
    </r>
  </si>
  <si>
    <t xml:space="preserve">Anprall Fahrzeug-Rückhaltesystem FRS: (nach DIN EN 1991-2 bzw. EN 1317) </t>
  </si>
  <si>
    <t>Indirekte Einwirkungen</t>
  </si>
  <si>
    <t>Die Einwirkungen aus dieser Tabelle werden nicht automatisch in Blatt "Eingabe" übernommen.</t>
  </si>
  <si>
    <t>Bitumen-Schweißbahn einlagig + Schutzlage, (Dicke 8 mm)</t>
  </si>
  <si>
    <t>Bitumen-Schweißbahn einlagig, (Dicke 5 mm)</t>
  </si>
  <si>
    <t>Bitumen-Schweißbahn zweilagig + Schutzlage, (Dicke 13 mm)</t>
  </si>
  <si>
    <t>Bitumen-Schweißbahn zweilagig, (Dicke 10 mm)</t>
  </si>
  <si>
    <t>Flüssigkunststoff-Abdichtung, (Dicke 3 mm)</t>
  </si>
  <si>
    <t>keine Dichtungsschicht, (Dicke 0 mm)</t>
  </si>
  <si>
    <t>Dimension Kopfbolzen prüfen.</t>
  </si>
  <si>
    <t>Kopfbolzen</t>
  </si>
  <si>
    <t>Kopfplatte M20</t>
  </si>
  <si>
    <t>Kopfplatte M24</t>
  </si>
  <si>
    <t>Tragwerk (Überbau)</t>
  </si>
  <si>
    <t>Querkraft Kappe → Tragwerk</t>
  </si>
  <si>
    <t>Zugkraftübertragung Kappe → Tragwerk (Überbau): Kappenverankerung HCC</t>
  </si>
  <si>
    <t>Querkraftübertragung Kappe → Tragwerk (Überbau): Kappenverankerung HCC</t>
  </si>
  <si>
    <t>zzgl. Injektionsmörtel HIT-RE 500</t>
  </si>
  <si>
    <t>BIM/CAD Bibliothek</t>
  </si>
  <si>
    <t>HCC-Art.-Set 2085829: HIT-V-R M16x200</t>
  </si>
  <si>
    <t>HCC-Art.-Set 408479: HIT-V-R M16x240</t>
  </si>
  <si>
    <t>HCC-Art.-Set 2086010: HIT-V-R M16x300</t>
  </si>
  <si>
    <t>HCC-Art.-Set 408478: HIT-V-R M20x260</t>
  </si>
  <si>
    <t>HCC-Art.-Set 2192324: HIT-V-R M20x300</t>
  </si>
  <si>
    <t>HCC-Art.-Set 2192325: HIT-V-R M20x330</t>
  </si>
  <si>
    <t>HCC-Art.-Set 2192326: HIT-V-R M20x350</t>
  </si>
  <si>
    <t>HCC-Art.-Set 2173470: HIT-V-R M20x380</t>
  </si>
  <si>
    <t>HCC-Art.-Set 2192327: HIT-V-R M24x260</t>
  </si>
  <si>
    <t xml:space="preserve">HCC-Art.-Set 2192328: HIT-V-R M24x300 </t>
  </si>
  <si>
    <t>HCC-Art.-Set 2192329: HIT-V-R M24x330</t>
  </si>
  <si>
    <t>HCC-Art.-Set 2192460: HIT-V-R M24x350</t>
  </si>
  <si>
    <t>mit Stauscheibe HIW-SD</t>
  </si>
  <si>
    <t>projektspez. Art.-Set wenn 2 x do nicht ok</t>
  </si>
  <si>
    <t>Länge aufgerundet gewählt</t>
  </si>
  <si>
    <t>Check 2 x do mit Länge nach Art-Set</t>
  </si>
  <si>
    <t>HCC gewählt nach Art.-Set:</t>
  </si>
  <si>
    <t>Randbereich in Kappenlängsrichtung jeweils 6 m vor Übergangs-Konstruktion (ÜKO)</t>
  </si>
  <si>
    <r>
      <t>Höhe Überbau H</t>
    </r>
    <r>
      <rPr>
        <b/>
        <vertAlign val="subscript"/>
        <sz val="12"/>
        <color theme="0"/>
        <rFont val="Arial"/>
        <family val="2"/>
      </rPr>
      <t>T</t>
    </r>
    <r>
      <rPr>
        <b/>
        <sz val="12"/>
        <color theme="0"/>
        <rFont val="Arial"/>
        <family val="2"/>
      </rPr>
      <t xml:space="preserve"> bzw. Verankerungslänge h</t>
    </r>
    <r>
      <rPr>
        <b/>
        <vertAlign val="subscript"/>
        <sz val="12"/>
        <color theme="0"/>
        <rFont val="Arial"/>
        <family val="2"/>
      </rPr>
      <t>T,ef</t>
    </r>
    <r>
      <rPr>
        <b/>
        <sz val="12"/>
        <color theme="0"/>
        <rFont val="Arial"/>
        <family val="2"/>
      </rPr>
      <t xml:space="preserve"> prüfen</t>
    </r>
    <r>
      <rPr>
        <b/>
        <vertAlign val="subscript"/>
        <sz val="12"/>
        <color theme="0"/>
        <rFont val="Arial"/>
        <family val="2"/>
      </rPr>
      <t xml:space="preserve"> </t>
    </r>
  </si>
  <si>
    <r>
      <t>Abstand längs s</t>
    </r>
    <r>
      <rPr>
        <vertAlign val="subscript"/>
        <sz val="10"/>
        <rFont val="Arial"/>
        <family val="2"/>
      </rPr>
      <t>x,Mittelbereich</t>
    </r>
  </si>
  <si>
    <r>
      <t>Abstand längs s</t>
    </r>
    <r>
      <rPr>
        <vertAlign val="subscript"/>
        <sz val="10"/>
        <rFont val="Arial"/>
        <family val="2"/>
      </rPr>
      <t>x,Randbereich</t>
    </r>
  </si>
  <si>
    <r>
      <t>Gewindehöhe h</t>
    </r>
    <r>
      <rPr>
        <vertAlign val="subscript"/>
        <sz val="10"/>
        <rFont val="Arial"/>
        <family val="2"/>
      </rPr>
      <t>K,Gew</t>
    </r>
  </si>
  <si>
    <t>Dicke</t>
  </si>
  <si>
    <r>
      <t>Betondeckung Kopfb. c</t>
    </r>
    <r>
      <rPr>
        <vertAlign val="subscript"/>
        <sz val="10"/>
        <rFont val="Arial"/>
        <family val="2"/>
      </rPr>
      <t>nom</t>
    </r>
  </si>
  <si>
    <t>Randbereich in Kappenlängsrichtung jeweils 6 m vor Übergangskonstruktion (ÜKO)</t>
  </si>
  <si>
    <r>
      <t>Bedingung H</t>
    </r>
    <r>
      <rPr>
        <b/>
        <vertAlign val="subscript"/>
        <sz val="11"/>
        <color theme="0"/>
        <rFont val="Arial"/>
        <family val="2"/>
      </rPr>
      <t>T</t>
    </r>
    <r>
      <rPr>
        <b/>
        <sz val="11"/>
        <color theme="0"/>
        <rFont val="Arial"/>
        <family val="2"/>
      </rPr>
      <t xml:space="preserve"> ≥ h</t>
    </r>
    <r>
      <rPr>
        <b/>
        <vertAlign val="subscript"/>
        <sz val="11"/>
        <color theme="0"/>
        <rFont val="Arial"/>
        <family val="2"/>
      </rPr>
      <t>T,ef</t>
    </r>
    <r>
      <rPr>
        <b/>
        <sz val="11"/>
        <color theme="0"/>
        <rFont val="Arial"/>
        <family val="2"/>
      </rPr>
      <t xml:space="preserve"> + 2 * d</t>
    </r>
    <r>
      <rPr>
        <b/>
        <vertAlign val="subscript"/>
        <sz val="11"/>
        <color theme="0"/>
        <rFont val="Arial"/>
        <family val="2"/>
      </rPr>
      <t>o</t>
    </r>
    <r>
      <rPr>
        <b/>
        <sz val="11"/>
        <color theme="0"/>
        <rFont val="Arial"/>
        <family val="2"/>
      </rPr>
      <t xml:space="preserve"> nicht erfüllt.</t>
    </r>
  </si>
  <si>
    <r>
      <t>Abstand längs s</t>
    </r>
    <r>
      <rPr>
        <vertAlign val="subscript"/>
        <sz val="10"/>
        <rFont val="Arial"/>
        <family val="2"/>
      </rPr>
      <t>x,Mitte</t>
    </r>
  </si>
  <si>
    <r>
      <t>Bohrloch-Ø d</t>
    </r>
    <r>
      <rPr>
        <vertAlign val="subscript"/>
        <sz val="10"/>
        <rFont val="Arial"/>
        <family val="2"/>
      </rPr>
      <t>o</t>
    </r>
  </si>
  <si>
    <r>
      <t>Bedingung H</t>
    </r>
    <r>
      <rPr>
        <b/>
        <vertAlign val="subscript"/>
        <sz val="10"/>
        <color theme="0"/>
        <rFont val="Arial"/>
        <family val="2"/>
      </rPr>
      <t>T</t>
    </r>
    <r>
      <rPr>
        <b/>
        <sz val="10"/>
        <color theme="0"/>
        <rFont val="Arial"/>
        <family val="2"/>
      </rPr>
      <t xml:space="preserve"> ≥ h</t>
    </r>
    <r>
      <rPr>
        <b/>
        <vertAlign val="subscript"/>
        <sz val="10"/>
        <color theme="0"/>
        <rFont val="Arial"/>
        <family val="2"/>
      </rPr>
      <t>T,ef</t>
    </r>
    <r>
      <rPr>
        <b/>
        <sz val="10"/>
        <color theme="0"/>
        <rFont val="Arial"/>
        <family val="2"/>
      </rPr>
      <t xml:space="preserve"> + 2 * d</t>
    </r>
    <r>
      <rPr>
        <b/>
        <vertAlign val="subscript"/>
        <sz val="10"/>
        <color theme="0"/>
        <rFont val="Arial"/>
        <family val="2"/>
      </rPr>
      <t>o</t>
    </r>
    <r>
      <rPr>
        <b/>
        <sz val="10"/>
        <color theme="0"/>
        <rFont val="Arial"/>
        <family val="2"/>
      </rPr>
      <t xml:space="preserve"> nicht erfüllt.</t>
    </r>
  </si>
  <si>
    <r>
      <t>Abstand längs s</t>
    </r>
    <r>
      <rPr>
        <vertAlign val="subscript"/>
        <sz val="10"/>
        <rFont val="Arial"/>
        <family val="2"/>
      </rPr>
      <t xml:space="preserve">x,Mittelbereich </t>
    </r>
  </si>
  <si>
    <r>
      <t>Verankerungslänge h</t>
    </r>
    <r>
      <rPr>
        <vertAlign val="subscript"/>
        <sz val="10"/>
        <rFont val="Arial"/>
        <family val="2"/>
      </rPr>
      <t xml:space="preserve">T,ef </t>
    </r>
  </si>
  <si>
    <t>i</t>
  </si>
  <si>
    <t>kN/m</t>
  </si>
  <si>
    <t>Bansenwin7</t>
  </si>
  <si>
    <t>KAFFINE10</t>
  </si>
  <si>
    <t>COMPUTER-PC</t>
  </si>
  <si>
    <t>PC-Markotten-02</t>
  </si>
  <si>
    <t>WFS050</t>
  </si>
  <si>
    <t>PC-MARTIN</t>
  </si>
  <si>
    <t>PC-TKUSCHKE</t>
  </si>
  <si>
    <t>PC-KLIPSTEIN</t>
  </si>
  <si>
    <t>PC-NLICH</t>
  </si>
  <si>
    <t>PC-DVILCAN</t>
  </si>
  <si>
    <t>SMECHSNER</t>
  </si>
  <si>
    <t>PC-GOEPFERT-14</t>
  </si>
  <si>
    <t>A-BohlanderJ</t>
  </si>
  <si>
    <t>Win7-18</t>
  </si>
  <si>
    <t>PC11</t>
  </si>
  <si>
    <t>SBU-01</t>
  </si>
  <si>
    <t>EDT-62</t>
  </si>
  <si>
    <t>PCMD105</t>
  </si>
  <si>
    <t>PCMD004</t>
  </si>
  <si>
    <t>Igl-PC</t>
  </si>
  <si>
    <t>DBRESSLER</t>
  </si>
  <si>
    <t>NILGES-PC</t>
  </si>
  <si>
    <t>OLI-16000</t>
  </si>
  <si>
    <t>OLI-16001</t>
  </si>
  <si>
    <t>Oli-2300</t>
  </si>
  <si>
    <t>STATIK2</t>
  </si>
  <si>
    <t>KUPFERSC-DC8100</t>
  </si>
  <si>
    <t>PC119</t>
  </si>
  <si>
    <t>DEFE-135388</t>
  </si>
  <si>
    <t>ICTS-LTP2105</t>
  </si>
  <si>
    <t>pc129</t>
  </si>
  <si>
    <t>ws128</t>
  </si>
  <si>
    <t>ws129</t>
  </si>
  <si>
    <t>RVOGLER-PC</t>
  </si>
  <si>
    <t>LC-PC01</t>
  </si>
  <si>
    <t>LSHOP381</t>
  </si>
  <si>
    <t>SRP-KC-062</t>
  </si>
  <si>
    <t>PC-Loebbert</t>
  </si>
  <si>
    <t>PC-JENNY</t>
  </si>
  <si>
    <t>PC-STROBEL</t>
  </si>
  <si>
    <t>PC-LUEDERS</t>
  </si>
  <si>
    <t>KAULE-PC</t>
  </si>
  <si>
    <t>NBSchellenbauer</t>
  </si>
  <si>
    <t>WKS799</t>
  </si>
  <si>
    <t>WVW7PC13</t>
  </si>
  <si>
    <t>WVW7WS02</t>
  </si>
  <si>
    <t>WVW7PC04</t>
  </si>
  <si>
    <t>WVW7PC17</t>
  </si>
  <si>
    <t>WVW7PC19</t>
  </si>
  <si>
    <t>WVW7PC14</t>
  </si>
  <si>
    <t>PC-GAERTNER2</t>
  </si>
  <si>
    <t>PC-Engler</t>
  </si>
  <si>
    <t>Brueckenbau2b</t>
  </si>
  <si>
    <t>Sekretariat1a</t>
  </si>
  <si>
    <t>PCDH</t>
  </si>
  <si>
    <t>BERND-PC</t>
  </si>
  <si>
    <t>BER-N1617000</t>
  </si>
  <si>
    <t>BDC-C521C-B</t>
  </si>
  <si>
    <t>BDC-C404C-B</t>
  </si>
  <si>
    <t>DEKOE-WS-VAM33</t>
  </si>
  <si>
    <t>WST-Krebs</t>
  </si>
  <si>
    <t>WST-Huebner</t>
  </si>
  <si>
    <t>TH-PC</t>
  </si>
  <si>
    <t>ALFONS-PC</t>
  </si>
  <si>
    <t>PC-MS</t>
  </si>
  <si>
    <t>JEN-H17-WD</t>
  </si>
  <si>
    <t>JEN-B02-HAMA</t>
  </si>
  <si>
    <t>RT</t>
  </si>
  <si>
    <t>PC-Noack</t>
  </si>
  <si>
    <t>FOSNB562</t>
  </si>
  <si>
    <t>Büro-PC</t>
  </si>
  <si>
    <t>EROS</t>
  </si>
  <si>
    <t>NLStBV-ZN-P0494</t>
  </si>
  <si>
    <t>JAHN2014</t>
  </si>
  <si>
    <t>KNEPPERGES</t>
  </si>
  <si>
    <t>PC-PEULERS</t>
  </si>
  <si>
    <t>JürgenBecker-PC</t>
  </si>
  <si>
    <t>RITTERSPORN2015</t>
  </si>
  <si>
    <t>PC-01519</t>
  </si>
  <si>
    <t>PC-01344</t>
  </si>
  <si>
    <t>PC-01652</t>
  </si>
  <si>
    <t>iMac</t>
  </si>
  <si>
    <t>PAB1501</t>
  </si>
  <si>
    <t>PC-KRAFFT</t>
  </si>
  <si>
    <t>DESKTOP</t>
  </si>
  <si>
    <t>CLIENT12</t>
  </si>
  <si>
    <t>PC-SEITEL</t>
  </si>
  <si>
    <t>COREL</t>
  </si>
  <si>
    <t>LT-RAUSCH</t>
  </si>
  <si>
    <t>PD1322</t>
  </si>
  <si>
    <t>NB-HAL-CAD3</t>
  </si>
  <si>
    <t>PC02-PUH-0216</t>
  </si>
  <si>
    <t>PC05</t>
  </si>
  <si>
    <t>BERTRAM-HP</t>
  </si>
  <si>
    <t>PC-FREUND</t>
  </si>
  <si>
    <t>SP-20140202</t>
  </si>
  <si>
    <t>PC-01626</t>
  </si>
  <si>
    <t>PC-01446</t>
  </si>
  <si>
    <t>PC-LORENZ-14</t>
  </si>
  <si>
    <t>NB-BECKMANNO</t>
  </si>
  <si>
    <t>DESKTOP-VPL6VHG</t>
  </si>
  <si>
    <t>RENKER-PC</t>
  </si>
  <si>
    <t>BEPWS39</t>
  </si>
  <si>
    <t>BEPWS41</t>
  </si>
  <si>
    <t>PC-SCHMIDLE</t>
  </si>
  <si>
    <t>PC-STRASSER</t>
  </si>
  <si>
    <t>PDA1531</t>
  </si>
  <si>
    <t>PC2</t>
  </si>
  <si>
    <t>PC-SCHLENGER</t>
  </si>
  <si>
    <t>PC-SGABLER</t>
  </si>
  <si>
    <t>SCALEO</t>
  </si>
  <si>
    <t>FJNEU2014-PC</t>
  </si>
  <si>
    <t>M6600-01</t>
  </si>
  <si>
    <t>WIN7-03</t>
  </si>
  <si>
    <t>CRISTIAN-NEU</t>
  </si>
  <si>
    <t>WS-14</t>
  </si>
  <si>
    <t>PC128</t>
  </si>
  <si>
    <t>CAD-PET</t>
  </si>
  <si>
    <t>SCHNEIDER1</t>
  </si>
  <si>
    <t>PVIEN-PC5369</t>
  </si>
  <si>
    <t>SCHOBER-CARSTEN</t>
  </si>
  <si>
    <t>PETROV-SERGEJ</t>
  </si>
  <si>
    <t>HANS-CHRISTIAN</t>
  </si>
  <si>
    <t>SCHORR-TONI</t>
  </si>
  <si>
    <t>WE-NB-DOMHARDT</t>
  </si>
  <si>
    <t>WEI-NB20150312B</t>
  </si>
  <si>
    <t>WE-PC-FRITZSCH</t>
  </si>
  <si>
    <t>PL-PC-SPINDLER</t>
  </si>
  <si>
    <t>WE-PC-SIMMERT</t>
  </si>
  <si>
    <t>PC-KF</t>
  </si>
  <si>
    <t>PL-PC-SEIFERT</t>
  </si>
  <si>
    <t>WE-NB-WEISS</t>
  </si>
  <si>
    <t>WE-PC-PRAKTIKAN</t>
  </si>
  <si>
    <t>WE-PC-PRAKTI2</t>
  </si>
  <si>
    <t>PC03</t>
  </si>
  <si>
    <t>THESING-NEU</t>
  </si>
  <si>
    <t>PC-JGRIMMINGER</t>
  </si>
  <si>
    <t>PCH.ibvs.local</t>
  </si>
  <si>
    <t>NBFI04</t>
  </si>
  <si>
    <t>SOMMERHAEUSER</t>
  </si>
  <si>
    <t>WTBOE68</t>
  </si>
  <si>
    <t>NBBOE07</t>
  </si>
  <si>
    <t>PC036</t>
  </si>
  <si>
    <t>KIEL-NEU</t>
  </si>
  <si>
    <t>PC-07</t>
  </si>
  <si>
    <t>PC-STATIK-WIN7</t>
  </si>
  <si>
    <t>BUP-SLZ-66</t>
  </si>
  <si>
    <t>20101215PC1</t>
  </si>
  <si>
    <t>Kenneth-Home1</t>
  </si>
  <si>
    <t>AN-B-PC-WEBER</t>
  </si>
  <si>
    <t>JWS-12-10014</t>
  </si>
  <si>
    <t>PONT-DE-NORMAND</t>
  </si>
  <si>
    <t>PC-KK</t>
  </si>
  <si>
    <t>BJHU23_2013</t>
  </si>
  <si>
    <t>GARSKENB04</t>
  </si>
  <si>
    <t>Hochbau6b</t>
  </si>
  <si>
    <t>WIN7-13-1-PC</t>
  </si>
  <si>
    <t>JUNG-WIN64</t>
  </si>
  <si>
    <t>BPR-897B032</t>
  </si>
  <si>
    <t>KGB-PC</t>
  </si>
  <si>
    <t>MLIEBLPC</t>
  </si>
  <si>
    <t>LEISTNER22</t>
  </si>
  <si>
    <t>GM0039757</t>
  </si>
  <si>
    <t>UWE4-PC</t>
  </si>
  <si>
    <t>Statik-01</t>
  </si>
  <si>
    <t>Mueller-PC</t>
  </si>
  <si>
    <t>Bernhardt-PC</t>
  </si>
  <si>
    <t>KB-KELLERMANN</t>
  </si>
  <si>
    <t>WIN7-20</t>
  </si>
  <si>
    <t>L630C0001</t>
  </si>
  <si>
    <t>L630C0103</t>
  </si>
  <si>
    <t>L630C0104</t>
  </si>
  <si>
    <t>L630C0102</t>
  </si>
  <si>
    <t>KB-MAMBRETTI</t>
  </si>
  <si>
    <t>KB-HOHM</t>
  </si>
  <si>
    <t>W7BEYER</t>
  </si>
  <si>
    <t>EDV-109530</t>
  </si>
  <si>
    <t>EDV-109993</t>
  </si>
  <si>
    <t>NBBOE05</t>
  </si>
  <si>
    <t>Felletschin</t>
  </si>
  <si>
    <t>PC4</t>
  </si>
  <si>
    <t>PC1</t>
  </si>
  <si>
    <t>EDT-44</t>
  </si>
  <si>
    <t>EDT-41</t>
  </si>
  <si>
    <t>CE-330</t>
  </si>
  <si>
    <t>LICHTI-WACK-PC</t>
  </si>
  <si>
    <t>BALDAUF-PC</t>
  </si>
  <si>
    <t>STEEGER</t>
  </si>
  <si>
    <t>ME-T460-02</t>
  </si>
  <si>
    <t>RETTIG2</t>
  </si>
  <si>
    <t>WFS027</t>
  </si>
  <si>
    <t>PC-CAD-3</t>
  </si>
  <si>
    <t>PC-CAD-12</t>
  </si>
  <si>
    <t>WIN7-30</t>
  </si>
  <si>
    <t>FACKLER-PC</t>
  </si>
  <si>
    <t>Bruno-PC</t>
  </si>
  <si>
    <t>ARBEITSPLATZ5</t>
  </si>
  <si>
    <t>BKK-2</t>
  </si>
  <si>
    <t>KRSV</t>
  </si>
  <si>
    <t>RECH148</t>
  </si>
  <si>
    <t>HTC16347</t>
  </si>
  <si>
    <t>NIL</t>
  </si>
  <si>
    <t>STATIK06</t>
  </si>
  <si>
    <t>LAPTOP-HP8BNM4D</t>
  </si>
  <si>
    <t>w7-axel-neu</t>
  </si>
  <si>
    <t>w7-sven-neu</t>
  </si>
  <si>
    <t>ASB-COM557</t>
  </si>
  <si>
    <t>ASB-COM564</t>
  </si>
  <si>
    <t>NB-Pundrich</t>
  </si>
  <si>
    <t>TP-W81-07</t>
  </si>
  <si>
    <t>PC-Klauser</t>
  </si>
  <si>
    <t>PC-Laubenstein</t>
  </si>
  <si>
    <t>PC-Schefer</t>
  </si>
  <si>
    <t>PC-ASC</t>
  </si>
  <si>
    <t>TPC-JN</t>
  </si>
  <si>
    <t>WTBOE62</t>
  </si>
  <si>
    <t>WTBOE22</t>
  </si>
  <si>
    <t>STATIK01</t>
  </si>
  <si>
    <t>PC19-SONNTAG</t>
  </si>
  <si>
    <t>PC18-ALLMANN</t>
  </si>
  <si>
    <t>NB-KUNZE</t>
  </si>
  <si>
    <t>DESKTOP-1507003</t>
  </si>
  <si>
    <t>W7-POXLEITNER</t>
  </si>
  <si>
    <t>AP-01A</t>
  </si>
  <si>
    <t>PCCOT237</t>
  </si>
  <si>
    <t>CLI-47581</t>
  </si>
  <si>
    <t>CLIENT13</t>
  </si>
  <si>
    <t>CLIENT15</t>
  </si>
  <si>
    <t>MACBOOK</t>
  </si>
  <si>
    <t>HP-PC-03</t>
  </si>
  <si>
    <t>RATZMANN-PC</t>
  </si>
  <si>
    <t>EBHNW707</t>
  </si>
  <si>
    <t>Doser-PC</t>
  </si>
  <si>
    <t>KAUFMANN</t>
  </si>
  <si>
    <t>PC22A</t>
  </si>
  <si>
    <t>PC52B</t>
  </si>
  <si>
    <t>PC15A</t>
  </si>
  <si>
    <t>PC28B</t>
  </si>
  <si>
    <t>BPRAUG03</t>
  </si>
  <si>
    <t>ISP-M219</t>
  </si>
  <si>
    <t>PCMDELL004</t>
  </si>
  <si>
    <t>NIESSEN-1403</t>
  </si>
  <si>
    <t>Koch-1511</t>
  </si>
  <si>
    <t>KRAUTSCHICK1307</t>
  </si>
  <si>
    <t>MOECKEL-1310</t>
  </si>
  <si>
    <t>DA218</t>
  </si>
  <si>
    <t>DA289</t>
  </si>
  <si>
    <t>DA215</t>
  </si>
  <si>
    <t>Bello-PC</t>
  </si>
  <si>
    <t>DIELEN-PC</t>
  </si>
  <si>
    <t>SPLEREITER-PC</t>
  </si>
  <si>
    <t>W-NL-EU-326</t>
  </si>
  <si>
    <t>W-NL-EU-120</t>
  </si>
  <si>
    <t>W-NL-EU-179</t>
  </si>
  <si>
    <t>W-NL-EU-062</t>
  </si>
  <si>
    <t>W7HELLMERS</t>
  </si>
  <si>
    <t>W7ALBAT</t>
  </si>
  <si>
    <t>RZXA01</t>
  </si>
  <si>
    <t>Fricke-1609</t>
  </si>
  <si>
    <t>W-NL-EU-638</t>
  </si>
  <si>
    <t>FTS-YLNF063066</t>
  </si>
  <si>
    <t>Luigi</t>
  </si>
  <si>
    <t>G6RY515001L3</t>
  </si>
  <si>
    <t>VBI-W7-MFE</t>
  </si>
  <si>
    <t>VBI-W10-ANU</t>
  </si>
  <si>
    <t>VBI-W10-PRA</t>
  </si>
  <si>
    <t>HTC19512</t>
  </si>
  <si>
    <t>PC36</t>
  </si>
  <si>
    <t>pd1315</t>
  </si>
  <si>
    <t>A-MorguetF</t>
  </si>
  <si>
    <t>A-RecktenwaldA</t>
  </si>
  <si>
    <t>A-PfuellN</t>
  </si>
  <si>
    <t>A-LochH</t>
  </si>
  <si>
    <t>A-PeterR</t>
  </si>
  <si>
    <t>A-MollJ</t>
  </si>
  <si>
    <t>A-RahnT</t>
  </si>
  <si>
    <t>A-MedarskiS</t>
  </si>
  <si>
    <t>A-Schirram</t>
  </si>
  <si>
    <t>BUESSE-PC</t>
  </si>
  <si>
    <t>MPCTX10</t>
  </si>
  <si>
    <t>WIN7-HAG</t>
  </si>
  <si>
    <t>HP02</t>
  </si>
  <si>
    <t>UWE-PC</t>
  </si>
  <si>
    <t>KLAUS10</t>
  </si>
  <si>
    <t>WKSFI208</t>
  </si>
  <si>
    <t>WS16</t>
  </si>
  <si>
    <t>AN</t>
  </si>
  <si>
    <t>PC121</t>
  </si>
  <si>
    <t>0010843C</t>
  </si>
  <si>
    <t>NBFI07</t>
  </si>
  <si>
    <t>NOTEBOOK-HJG</t>
  </si>
  <si>
    <t>AMANN</t>
  </si>
  <si>
    <t>WORK-16012</t>
  </si>
  <si>
    <t>HOLM</t>
  </si>
  <si>
    <t>pc-ritter</t>
  </si>
  <si>
    <t>GM0035259</t>
  </si>
  <si>
    <t>CAD04</t>
  </si>
  <si>
    <t>PC-Grimminger</t>
  </si>
  <si>
    <t>RIG10</t>
  </si>
  <si>
    <t>PC-FUCHS-BTB</t>
  </si>
  <si>
    <t>STATIK1</t>
  </si>
  <si>
    <t>W7-AMMERERC</t>
  </si>
  <si>
    <t>DESKTOP-CJ2500I</t>
  </si>
  <si>
    <t>W-NL-E-264</t>
  </si>
  <si>
    <t>W-NL-E-270</t>
  </si>
  <si>
    <t>W-NL-E-406</t>
  </si>
  <si>
    <t>W-NL-E-294</t>
  </si>
  <si>
    <t>W-NL-E-260</t>
  </si>
  <si>
    <t>W7-HEIMERLS</t>
  </si>
  <si>
    <t>w7geiger</t>
  </si>
  <si>
    <t>w7bussler</t>
  </si>
  <si>
    <t>IDC-WS6</t>
  </si>
  <si>
    <t>S-LAN-WITT1</t>
  </si>
  <si>
    <t>NBW10SS</t>
  </si>
  <si>
    <t>Platz 13</t>
  </si>
  <si>
    <t>Platz 11</t>
  </si>
  <si>
    <t>Platz 14</t>
  </si>
  <si>
    <t>Platz 15</t>
  </si>
  <si>
    <t>Platz 10</t>
  </si>
  <si>
    <t>Platz 9</t>
  </si>
  <si>
    <t>GLEBER_NOTE</t>
  </si>
  <si>
    <t>AS-A-PC-2670</t>
  </si>
  <si>
    <t>CADPC08</t>
  </si>
  <si>
    <t>PC-01646</t>
  </si>
  <si>
    <t>PC-01570</t>
  </si>
  <si>
    <t>PC-01443</t>
  </si>
  <si>
    <t>SB84</t>
  </si>
  <si>
    <t>W-NL-E-225</t>
  </si>
  <si>
    <t>W-NL-E-199</t>
  </si>
  <si>
    <t>PC-40</t>
  </si>
  <si>
    <t>PC009</t>
  </si>
  <si>
    <t>IBA-10</t>
  </si>
  <si>
    <t>PC0610</t>
  </si>
  <si>
    <t>PC0638</t>
  </si>
  <si>
    <t>PC0445</t>
  </si>
  <si>
    <t>PC0594</t>
  </si>
  <si>
    <t>CAD05X2017</t>
  </si>
  <si>
    <t>SCHÄFER-PC</t>
  </si>
  <si>
    <t>tmueller-PC</t>
  </si>
  <si>
    <t>NB-Hochbau20</t>
  </si>
  <si>
    <t>PD1343</t>
  </si>
  <si>
    <t>PC0110</t>
  </si>
  <si>
    <t>PC-01823</t>
  </si>
  <si>
    <t>RITTMANN2017</t>
  </si>
  <si>
    <t>PC-TANG</t>
  </si>
  <si>
    <t>pcpan1501</t>
  </si>
  <si>
    <t>PC-A-221</t>
  </si>
  <si>
    <t>HEIDE-PC</t>
  </si>
  <si>
    <t>BAEUERLE-PC</t>
  </si>
  <si>
    <t>Truedinger-PC</t>
  </si>
  <si>
    <t>pgg1g510</t>
  </si>
  <si>
    <t>p6613161</t>
  </si>
  <si>
    <t>p6613162</t>
  </si>
  <si>
    <t>p661g522</t>
  </si>
  <si>
    <t xml:space="preserve">W-AS-HAM-086 </t>
  </si>
  <si>
    <t>p6613214</t>
  </si>
  <si>
    <t>p6613221</t>
  </si>
  <si>
    <t>YLCM317920</t>
  </si>
  <si>
    <t>B-P05</t>
  </si>
  <si>
    <t>PC247-Hoffmann</t>
  </si>
  <si>
    <t>PC304-Kibler</t>
  </si>
  <si>
    <t>PC283-Ingendoh</t>
  </si>
  <si>
    <t>PC259-WORTMEIER</t>
  </si>
  <si>
    <t>PC199-B_SCHMIDT</t>
  </si>
  <si>
    <t>PC261-Hein</t>
  </si>
  <si>
    <t>ZB-01</t>
  </si>
  <si>
    <t>W7PROF64</t>
  </si>
  <si>
    <t>PCW8-0059</t>
  </si>
  <si>
    <t>SP-20170628</t>
  </si>
  <si>
    <t>SP-20151020</t>
  </si>
  <si>
    <t>STOELZLEPC</t>
  </si>
  <si>
    <t>PB-PLUS94</t>
  </si>
  <si>
    <t>GRAUMANN-HP</t>
  </si>
  <si>
    <t>PB-PLUS93</t>
  </si>
  <si>
    <t>DESKTOP-7RQIQ9T</t>
  </si>
  <si>
    <t>EC1708283C</t>
  </si>
  <si>
    <t>EC1707330C</t>
  </si>
  <si>
    <t>EC1708286D</t>
  </si>
  <si>
    <t>EC1708281D</t>
  </si>
  <si>
    <t>EC1708264C</t>
  </si>
  <si>
    <t>EC1708269C</t>
  </si>
  <si>
    <t>STATIK02</t>
  </si>
  <si>
    <t>MD-OSWALD</t>
  </si>
  <si>
    <t>NB-HAMSCH</t>
  </si>
  <si>
    <t>FB-PC</t>
  </si>
  <si>
    <t>AP-PC</t>
  </si>
  <si>
    <t>STATIK08</t>
  </si>
  <si>
    <t>IDC-LAP09</t>
  </si>
  <si>
    <t>IDC-WS15</t>
  </si>
  <si>
    <t>IDC-WS14</t>
  </si>
  <si>
    <t>DA190</t>
  </si>
  <si>
    <t>PC001-PC</t>
  </si>
  <si>
    <t>DENNISLEUCHTMANN</t>
  </si>
  <si>
    <t>JLEUCHTMANN-PC</t>
  </si>
  <si>
    <t>strassen.nrw.de</t>
  </si>
  <si>
    <t>inros-lackner.de; ilag.ilc.intern</t>
  </si>
  <si>
    <t>SRV-NET1.bin.site</t>
  </si>
  <si>
    <t>suh-ing.local</t>
  </si>
  <si>
    <t>ls.mswv.ad.lvnbb.de</t>
  </si>
  <si>
    <t>Achtung: Ab 900 Usern muss ganz oben Formel angepasst werden</t>
  </si>
  <si>
    <t>Juergen</t>
  </si>
  <si>
    <t>PC-HF</t>
  </si>
  <si>
    <t>I002PC001</t>
  </si>
  <si>
    <t>W7TORSTEN</t>
  </si>
  <si>
    <t>W7-RES</t>
  </si>
  <si>
    <t>PC-08</t>
  </si>
  <si>
    <t>PC-W8-31</t>
  </si>
  <si>
    <t>NB-RITTER</t>
  </si>
  <si>
    <t>PCH0252</t>
  </si>
  <si>
    <t>ISP-WE2013-3</t>
  </si>
  <si>
    <t>W10PC-SCHMIDT</t>
  </si>
  <si>
    <t>ec348</t>
  </si>
  <si>
    <t>GoelickeR-PC</t>
  </si>
  <si>
    <t>DESKTOP-M84FPC5</t>
  </si>
  <si>
    <t>PC-15</t>
  </si>
  <si>
    <t>PC-01692</t>
  </si>
  <si>
    <t>CARSTENFLOHR-PC</t>
  </si>
  <si>
    <t>PC-W10-PSU</t>
  </si>
  <si>
    <t>4WB4ZZ1A</t>
  </si>
  <si>
    <t>36TS1L2-10</t>
  </si>
  <si>
    <t>FWB4ZZ1</t>
  </si>
  <si>
    <t>PC-KNIEWEL</t>
  </si>
  <si>
    <t>PC-GEORGI-M</t>
  </si>
  <si>
    <t>PC-WAAG</t>
  </si>
  <si>
    <t>HERAKLSES</t>
  </si>
  <si>
    <t>PC-LANDGRAF</t>
  </si>
  <si>
    <t>PUBPC1006</t>
  </si>
  <si>
    <t>STEFFENS-PC</t>
  </si>
  <si>
    <t>EDT-146</t>
  </si>
  <si>
    <t>EDT-137</t>
  </si>
  <si>
    <t>PAZ-PC20150722E</t>
  </si>
  <si>
    <t>DESKTOP-19TO2AK</t>
  </si>
  <si>
    <t>BPRAUG02</t>
  </si>
  <si>
    <t>CXT</t>
  </si>
  <si>
    <t>IXB</t>
  </si>
  <si>
    <t>MxN</t>
  </si>
  <si>
    <t>PC-CAD-17</t>
  </si>
  <si>
    <t>JOSTMW7</t>
  </si>
  <si>
    <t>CARLO</t>
  </si>
  <si>
    <t>SB201</t>
  </si>
  <si>
    <t>HARRER-3</t>
  </si>
  <si>
    <t>Nguyen-1408</t>
  </si>
  <si>
    <t>LUTZ-PC</t>
  </si>
  <si>
    <t>gehlen-ing.local</t>
  </si>
  <si>
    <t>wtm-hh.local</t>
  </si>
  <si>
    <t>Hochbau4a</t>
  </si>
  <si>
    <t>NB-BRUECKEN10</t>
  </si>
  <si>
    <t>PC-01637</t>
  </si>
  <si>
    <t>LPW8-0057</t>
  </si>
  <si>
    <t>PC01</t>
  </si>
  <si>
    <t>SBVPC101</t>
  </si>
  <si>
    <t>Buero-PC</t>
  </si>
  <si>
    <t>INC-34</t>
  </si>
  <si>
    <t>Voelkel-PC</t>
  </si>
  <si>
    <t>PC65</t>
  </si>
  <si>
    <t>CHEF1</t>
  </si>
  <si>
    <t>WS01</t>
  </si>
  <si>
    <t>DESKTOP-PJ1I98R</t>
  </si>
  <si>
    <t>KOE0709</t>
  </si>
  <si>
    <t>THINKPAD-JO</t>
  </si>
  <si>
    <t>W10-X64-027</t>
  </si>
  <si>
    <t>Kubitza</t>
  </si>
  <si>
    <t>PC-GREINER2</t>
  </si>
  <si>
    <t>ec123</t>
  </si>
  <si>
    <t>PCN-21</t>
  </si>
  <si>
    <t>W7QUAPPEN</t>
  </si>
  <si>
    <t>COMPUTER05</t>
  </si>
  <si>
    <t>OLI-2300</t>
  </si>
  <si>
    <t>SRP-KC-178</t>
  </si>
  <si>
    <t>SRP-KC-177</t>
  </si>
  <si>
    <t>HAL-NB20170901</t>
  </si>
  <si>
    <t>PC-Zehender</t>
  </si>
  <si>
    <t>PC-Scherrmann</t>
  </si>
  <si>
    <t>kuk.de</t>
  </si>
  <si>
    <t>NTWS-394</t>
  </si>
  <si>
    <t>PC-KESSLER</t>
  </si>
  <si>
    <t>CHEFF-STATION</t>
  </si>
  <si>
    <t>MA-LAPTOP-WIN10</t>
  </si>
  <si>
    <t>kmp.local</t>
  </si>
  <si>
    <t>pc2</t>
  </si>
  <si>
    <t>Statik-PC</t>
  </si>
  <si>
    <t>W10NB0025</t>
  </si>
  <si>
    <t>SWKELLERPC008</t>
  </si>
  <si>
    <t>MANFREDREICHERT</t>
  </si>
  <si>
    <t>PC-01469</t>
  </si>
  <si>
    <t>PC-MSIEGMUND</t>
  </si>
  <si>
    <t>hilti.com</t>
  </si>
  <si>
    <t>PC44</t>
  </si>
  <si>
    <t>EIB-PC1</t>
  </si>
  <si>
    <t>PC110</t>
  </si>
  <si>
    <t>PC112</t>
  </si>
  <si>
    <t>SURFACEBOOK-03</t>
  </si>
  <si>
    <t>SN_1609180</t>
  </si>
  <si>
    <t>HTC27486</t>
  </si>
  <si>
    <t>PC-SPIEGELHALD</t>
  </si>
  <si>
    <t>ibsander.de</t>
  </si>
  <si>
    <t>PC-GASPERIC</t>
  </si>
  <si>
    <t>HTC27547</t>
  </si>
  <si>
    <t>HTC27301</t>
  </si>
  <si>
    <t>W7PC01</t>
  </si>
  <si>
    <t>HTC19957</t>
  </si>
  <si>
    <t>R8B</t>
  </si>
  <si>
    <t>EDV-111572</t>
  </si>
  <si>
    <t>EDV-111172</t>
  </si>
  <si>
    <t>WS-036</t>
  </si>
  <si>
    <t>PC-W10-CKT</t>
  </si>
  <si>
    <t>PATZSCHKE-PC</t>
  </si>
  <si>
    <t>KB-01</t>
  </si>
  <si>
    <t>KB-02</t>
  </si>
  <si>
    <t>KB-03</t>
  </si>
  <si>
    <t>isp-m251</t>
  </si>
  <si>
    <t>isp-m219</t>
  </si>
  <si>
    <t>PC057</t>
  </si>
  <si>
    <t>PC-SEITEL2</t>
  </si>
  <si>
    <t>DUS-PC-37</t>
  </si>
  <si>
    <t>DUS-PC-34</t>
  </si>
  <si>
    <t>DUS-PC-35 </t>
  </si>
  <si>
    <t>PC-ING06</t>
  </si>
  <si>
    <t>WS0022_HAL</t>
  </si>
  <si>
    <t>PC-Pfann</t>
  </si>
  <si>
    <t>HARRER-2</t>
  </si>
  <si>
    <t>WTBOE110</t>
  </si>
  <si>
    <t>S-JERGAS</t>
  </si>
  <si>
    <t>IBE-EE</t>
  </si>
  <si>
    <t>LC25/28; gerissen</t>
  </si>
  <si>
    <t>LC30/33; gerissen</t>
  </si>
  <si>
    <t>LC35/38; gerissen</t>
  </si>
  <si>
    <t>LC40/44; gerissen</t>
  </si>
  <si>
    <r>
      <t xml:space="preserve">Rohdichte </t>
    </r>
    <r>
      <rPr>
        <sz val="10"/>
        <rFont val="Arial"/>
        <family val="2"/>
      </rPr>
      <t>ρ</t>
    </r>
  </si>
  <si>
    <r>
      <t>[kg/m</t>
    </r>
    <r>
      <rPr>
        <vertAlign val="superscript"/>
        <sz val="10"/>
        <rFont val="Arial"/>
        <family val="2"/>
      </rPr>
      <t>3</t>
    </r>
    <r>
      <rPr>
        <sz val="10"/>
        <rFont val="Arial"/>
        <family val="2"/>
      </rPr>
      <t>]</t>
    </r>
  </si>
  <si>
    <t>LC50/55; gerissen</t>
  </si>
  <si>
    <t>LC45/50; gerissen</t>
  </si>
  <si>
    <t>LC55/60; gerissen</t>
  </si>
  <si>
    <t>Abmind. Leichtbeton</t>
  </si>
  <si>
    <t>Abminderung Leichtbeton</t>
  </si>
  <si>
    <r>
      <rPr>
        <sz val="10"/>
        <rFont val="Symbol"/>
        <family val="1"/>
        <charset val="2"/>
      </rPr>
      <t>y</t>
    </r>
    <r>
      <rPr>
        <vertAlign val="subscript"/>
        <sz val="10"/>
        <rFont val="Arial"/>
        <family val="2"/>
      </rPr>
      <t>red,LWC</t>
    </r>
  </si>
  <si>
    <t>Rohdichte ρ</t>
  </si>
  <si>
    <t>Mittelbereich Tragwerk (Überbau)</t>
  </si>
  <si>
    <t>Randbereich Tragwerk (Überbau)</t>
  </si>
  <si>
    <t>Mittelbereich Tragwerk (Überbau) HCC-Reihe 1</t>
  </si>
  <si>
    <t>Mittelbereich Tragwerk (Überbau) HCC-Reihe 2</t>
  </si>
  <si>
    <t>Randbereich Tragwerk (Überbau) HCC-Reihe 1</t>
  </si>
  <si>
    <t>Randbereich Tragwerk (Überbau) HCC-Reihe 2</t>
  </si>
  <si>
    <r>
      <t>Abminderung Leichtbeton ψ</t>
    </r>
    <r>
      <rPr>
        <vertAlign val="subscript"/>
        <sz val="10"/>
        <color theme="0"/>
        <rFont val="Arial"/>
        <family val="2"/>
      </rPr>
      <t>red,LWC</t>
    </r>
  </si>
  <si>
    <r>
      <t>h</t>
    </r>
    <r>
      <rPr>
        <vertAlign val="subscript"/>
        <sz val="10"/>
        <color theme="0"/>
        <rFont val="Arial"/>
        <family val="2"/>
      </rPr>
      <t>T,eff,min</t>
    </r>
    <r>
      <rPr>
        <sz val="10"/>
        <color theme="0"/>
        <rFont val="Arial"/>
        <family val="2"/>
      </rPr>
      <t xml:space="preserve"> gewählt</t>
    </r>
  </si>
  <si>
    <r>
      <t>d</t>
    </r>
    <r>
      <rPr>
        <b/>
        <vertAlign val="subscript"/>
        <sz val="10"/>
        <color theme="0"/>
        <rFont val="Arial"/>
        <family val="2"/>
      </rPr>
      <t>o</t>
    </r>
  </si>
  <si>
    <r>
      <t>h</t>
    </r>
    <r>
      <rPr>
        <b/>
        <vertAlign val="subscript"/>
        <sz val="10"/>
        <color theme="0"/>
        <rFont val="Arial"/>
        <family val="2"/>
      </rPr>
      <t>k,eff</t>
    </r>
  </si>
  <si>
    <r>
      <t>h</t>
    </r>
    <r>
      <rPr>
        <b/>
        <vertAlign val="subscript"/>
        <sz val="10"/>
        <color theme="0"/>
        <rFont val="Arial"/>
        <family val="2"/>
      </rPr>
      <t>Teff</t>
    </r>
  </si>
  <si>
    <r>
      <t>h</t>
    </r>
    <r>
      <rPr>
        <b/>
        <vertAlign val="subscript"/>
        <sz val="10"/>
        <color theme="0"/>
        <rFont val="Arial"/>
        <family val="2"/>
      </rPr>
      <t>k</t>
    </r>
    <r>
      <rPr>
        <b/>
        <sz val="10"/>
        <color theme="0"/>
        <rFont val="Arial"/>
        <family val="2"/>
      </rPr>
      <t xml:space="preserve"> gewählt</t>
    </r>
  </si>
  <si>
    <r>
      <t>Höhe Kopfbolzen H</t>
    </r>
    <r>
      <rPr>
        <b/>
        <vertAlign val="subscript"/>
        <sz val="10"/>
        <color theme="0"/>
        <rFont val="Arial"/>
        <family val="2"/>
      </rPr>
      <t>K1</t>
    </r>
  </si>
  <si>
    <r>
      <t>max. mögl. Verank.-länge Kopf h</t>
    </r>
    <r>
      <rPr>
        <b/>
        <vertAlign val="subscript"/>
        <sz val="10"/>
        <color theme="0"/>
        <rFont val="Arial"/>
        <family val="2"/>
      </rPr>
      <t xml:space="preserve">keff = </t>
    </r>
    <r>
      <rPr>
        <b/>
        <sz val="10"/>
        <color theme="0"/>
        <rFont val="Arial"/>
        <family val="2"/>
      </rPr>
      <t>H</t>
    </r>
    <r>
      <rPr>
        <b/>
        <vertAlign val="subscript"/>
        <sz val="10"/>
        <color theme="0"/>
        <rFont val="Arial"/>
        <family val="2"/>
      </rPr>
      <t>k</t>
    </r>
    <r>
      <rPr>
        <b/>
        <sz val="10"/>
        <color theme="0"/>
        <rFont val="Arial"/>
        <family val="2"/>
      </rPr>
      <t xml:space="preserve"> - c</t>
    </r>
    <r>
      <rPr>
        <b/>
        <vertAlign val="subscript"/>
        <sz val="10"/>
        <color theme="0"/>
        <rFont val="Arial"/>
        <family val="2"/>
      </rPr>
      <t xml:space="preserve">nom </t>
    </r>
    <r>
      <rPr>
        <b/>
        <sz val="10"/>
        <color theme="0"/>
        <rFont val="Arial"/>
        <family val="2"/>
      </rPr>
      <t>- H</t>
    </r>
    <r>
      <rPr>
        <b/>
        <vertAlign val="subscript"/>
        <sz val="10"/>
        <color theme="0"/>
        <rFont val="Arial"/>
        <family val="2"/>
      </rPr>
      <t>K1</t>
    </r>
  </si>
  <si>
    <r>
      <t>d</t>
    </r>
    <r>
      <rPr>
        <b/>
        <vertAlign val="subscript"/>
        <sz val="10"/>
        <color theme="0"/>
        <rFont val="Arial"/>
        <family val="2"/>
      </rPr>
      <t>p</t>
    </r>
    <r>
      <rPr>
        <b/>
        <sz val="10"/>
        <color theme="0"/>
        <rFont val="Arial"/>
        <family val="2"/>
      </rPr>
      <t xml:space="preserve"> Mutter</t>
    </r>
  </si>
  <si>
    <r>
      <t>A</t>
    </r>
    <r>
      <rPr>
        <b/>
        <vertAlign val="subscript"/>
        <sz val="10"/>
        <color theme="0"/>
        <rFont val="Arial"/>
        <family val="2"/>
      </rPr>
      <t>n,Mutter</t>
    </r>
  </si>
  <si>
    <r>
      <t>d</t>
    </r>
    <r>
      <rPr>
        <b/>
        <vertAlign val="subscript"/>
        <sz val="10"/>
        <color theme="0"/>
        <rFont val="Arial"/>
        <family val="2"/>
      </rPr>
      <t>p</t>
    </r>
    <r>
      <rPr>
        <b/>
        <sz val="10"/>
        <color theme="0"/>
        <rFont val="Arial"/>
        <family val="2"/>
      </rPr>
      <t xml:space="preserve"> Kopfplatte</t>
    </r>
  </si>
  <si>
    <r>
      <t>A</t>
    </r>
    <r>
      <rPr>
        <b/>
        <vertAlign val="subscript"/>
        <sz val="10"/>
        <color theme="0"/>
        <rFont val="Arial"/>
        <family val="2"/>
      </rPr>
      <t>n,Kopfplatte</t>
    </r>
  </si>
  <si>
    <r>
      <t>A</t>
    </r>
    <r>
      <rPr>
        <vertAlign val="subscript"/>
        <sz val="10"/>
        <color theme="0"/>
        <rFont val="Arial"/>
        <family val="2"/>
      </rPr>
      <t>n</t>
    </r>
    <r>
      <rPr>
        <sz val="10"/>
        <color theme="0"/>
        <rFont val="Arial"/>
        <family val="2"/>
      </rPr>
      <t xml:space="preserve"> maßgeb.</t>
    </r>
  </si>
  <si>
    <r>
      <t>d</t>
    </r>
    <r>
      <rPr>
        <vertAlign val="subscript"/>
        <sz val="10"/>
        <color theme="0"/>
        <rFont val="Arial"/>
        <family val="2"/>
      </rPr>
      <t>p</t>
    </r>
    <r>
      <rPr>
        <sz val="10"/>
        <color theme="0"/>
        <rFont val="Arial"/>
        <family val="2"/>
      </rPr>
      <t xml:space="preserve"> maßgeb</t>
    </r>
  </si>
  <si>
    <r>
      <t>d</t>
    </r>
    <r>
      <rPr>
        <b/>
        <vertAlign val="subscript"/>
        <sz val="10"/>
        <color theme="0"/>
        <rFont val="Arial"/>
        <family val="2"/>
      </rPr>
      <t>p</t>
    </r>
    <r>
      <rPr>
        <b/>
        <sz val="10"/>
        <color theme="0"/>
        <rFont val="Arial"/>
        <family val="2"/>
      </rPr>
      <t xml:space="preserve"> gewählt</t>
    </r>
  </si>
  <si>
    <r>
      <t>max. mögl. Kopfbolzenhöhe h</t>
    </r>
    <r>
      <rPr>
        <b/>
        <vertAlign val="subscript"/>
        <sz val="10"/>
        <color theme="0"/>
        <rFont val="Arial"/>
        <family val="2"/>
      </rPr>
      <t xml:space="preserve">keff = </t>
    </r>
    <r>
      <rPr>
        <b/>
        <sz val="10"/>
        <color theme="0"/>
        <rFont val="Arial"/>
        <family val="2"/>
      </rPr>
      <t>H</t>
    </r>
    <r>
      <rPr>
        <b/>
        <vertAlign val="subscript"/>
        <sz val="10"/>
        <color theme="0"/>
        <rFont val="Arial"/>
        <family val="2"/>
      </rPr>
      <t>k</t>
    </r>
    <r>
      <rPr>
        <b/>
        <sz val="10"/>
        <color theme="0"/>
        <rFont val="Arial"/>
        <family val="2"/>
      </rPr>
      <t xml:space="preserve"> - c</t>
    </r>
    <r>
      <rPr>
        <b/>
        <vertAlign val="subscript"/>
        <sz val="10"/>
        <color theme="0"/>
        <rFont val="Arial"/>
        <family val="2"/>
      </rPr>
      <t xml:space="preserve">nom </t>
    </r>
    <r>
      <rPr>
        <b/>
        <sz val="10"/>
        <color theme="0"/>
        <rFont val="Arial"/>
        <family val="2"/>
      </rPr>
      <t>- H</t>
    </r>
    <r>
      <rPr>
        <b/>
        <vertAlign val="subscript"/>
        <sz val="10"/>
        <color theme="0"/>
        <rFont val="Arial"/>
        <family val="2"/>
      </rPr>
      <t>K1</t>
    </r>
  </si>
  <si>
    <r>
      <t xml:space="preserve">Dübellänge l </t>
    </r>
    <r>
      <rPr>
        <vertAlign val="subscript"/>
        <sz val="10"/>
        <color theme="0"/>
        <rFont val="Arial"/>
        <family val="2"/>
      </rPr>
      <t>vorh</t>
    </r>
  </si>
  <si>
    <r>
      <t>zusätzlicher Check mit H</t>
    </r>
    <r>
      <rPr>
        <u/>
        <vertAlign val="subscript"/>
        <sz val="10"/>
        <color theme="0"/>
        <rFont val="Arial"/>
        <family val="2"/>
      </rPr>
      <t>T</t>
    </r>
    <r>
      <rPr>
        <u/>
        <sz val="10"/>
        <color theme="0"/>
        <rFont val="Arial"/>
        <family val="2"/>
      </rPr>
      <t xml:space="preserve"> und 2 x d</t>
    </r>
    <r>
      <rPr>
        <u/>
        <vertAlign val="subscript"/>
        <sz val="10"/>
        <color theme="0"/>
        <rFont val="Arial"/>
        <family val="2"/>
      </rPr>
      <t>o</t>
    </r>
    <r>
      <rPr>
        <u/>
        <sz val="10"/>
        <color theme="0"/>
        <rFont val="Arial"/>
        <family val="2"/>
      </rPr>
      <t>: gewählter Artikel</t>
    </r>
  </si>
  <si>
    <r>
      <t>h</t>
    </r>
    <r>
      <rPr>
        <vertAlign val="subscript"/>
        <sz val="10"/>
        <color theme="0"/>
        <rFont val="Arial"/>
        <family val="2"/>
      </rPr>
      <t xml:space="preserve">T,ef </t>
    </r>
    <r>
      <rPr>
        <sz val="10"/>
        <color theme="0"/>
        <rFont val="Arial"/>
        <family val="2"/>
      </rPr>
      <t>mit Länge nach Art. Set</t>
    </r>
  </si>
  <si>
    <r>
      <t>Reibungskraft F</t>
    </r>
    <r>
      <rPr>
        <vertAlign val="subscript"/>
        <sz val="10"/>
        <color theme="0"/>
        <rFont val="Arial"/>
        <family val="2"/>
      </rPr>
      <t>R</t>
    </r>
  </si>
  <si>
    <r>
      <t xml:space="preserve">Einwirkungen auf 
</t>
    </r>
    <r>
      <rPr>
        <b/>
        <u/>
        <sz val="10"/>
        <rFont val="Arial"/>
        <family val="2"/>
      </rPr>
      <t xml:space="preserve">Kappe </t>
    </r>
    <r>
      <rPr>
        <b/>
        <sz val="10"/>
        <rFont val="Arial"/>
        <family val="2"/>
      </rPr>
      <t xml:space="preserve">lt. Technischer 
Übersichtsliste BASt </t>
    </r>
    <r>
      <rPr>
        <b/>
        <vertAlign val="superscript"/>
        <sz val="10"/>
        <rFont val="Arial"/>
        <family val="2"/>
      </rPr>
      <t>1)</t>
    </r>
    <r>
      <rPr>
        <b/>
        <sz val="10"/>
        <rFont val="Arial"/>
        <family val="2"/>
      </rPr>
      <t xml:space="preserve"> 
nach DIN EN 1991-2, 
Abschnitt 4.7.3.3 (2)
</t>
    </r>
    <r>
      <rPr>
        <b/>
        <sz val="10"/>
        <rFont val="Symbol"/>
        <family val="1"/>
        <charset val="2"/>
      </rPr>
      <t>g</t>
    </r>
    <r>
      <rPr>
        <b/>
        <sz val="10"/>
        <rFont val="Arial"/>
        <family val="2"/>
      </rPr>
      <t xml:space="preserve"> = 1,25</t>
    </r>
  </si>
  <si>
    <r>
      <t>N</t>
    </r>
    <r>
      <rPr>
        <vertAlign val="subscript"/>
        <sz val="10"/>
        <color theme="0"/>
        <rFont val="Arial"/>
        <family val="2"/>
      </rPr>
      <t xml:space="preserve">Sd </t>
    </r>
    <r>
      <rPr>
        <sz val="10"/>
        <color theme="0"/>
        <rFont val="Arial"/>
        <family val="2"/>
      </rPr>
      <t xml:space="preserve"> [kN/A]</t>
    </r>
  </si>
  <si>
    <r>
      <t>V</t>
    </r>
    <r>
      <rPr>
        <vertAlign val="subscript"/>
        <sz val="10"/>
        <color theme="0"/>
        <rFont val="Arial"/>
        <family val="2"/>
      </rPr>
      <t xml:space="preserve">Sd,y </t>
    </r>
    <r>
      <rPr>
        <sz val="10"/>
        <color theme="0"/>
        <rFont val="Arial"/>
        <family val="2"/>
      </rPr>
      <t xml:space="preserve"> [kN/A]</t>
    </r>
  </si>
  <si>
    <r>
      <t>V</t>
    </r>
    <r>
      <rPr>
        <vertAlign val="subscript"/>
        <sz val="10"/>
        <color theme="0"/>
        <rFont val="Arial"/>
        <family val="2"/>
      </rPr>
      <t>Sd,y</t>
    </r>
    <r>
      <rPr>
        <sz val="10"/>
        <color theme="0"/>
        <rFont val="Arial"/>
        <family val="2"/>
      </rPr>
      <t xml:space="preserve">  [kN/A]</t>
    </r>
  </si>
  <si>
    <r>
      <t>N</t>
    </r>
    <r>
      <rPr>
        <vertAlign val="subscript"/>
        <sz val="10"/>
        <color theme="0"/>
        <rFont val="Arial"/>
        <family val="2"/>
      </rPr>
      <t>Sd</t>
    </r>
  </si>
  <si>
    <r>
      <t>V</t>
    </r>
    <r>
      <rPr>
        <vertAlign val="subscript"/>
        <sz val="10"/>
        <color theme="0"/>
        <rFont val="Arial"/>
        <family val="2"/>
      </rPr>
      <t xml:space="preserve">Sd,y/x </t>
    </r>
    <r>
      <rPr>
        <sz val="10"/>
        <color theme="0"/>
        <rFont val="Arial"/>
        <family val="2"/>
      </rPr>
      <t>[kN/A]</t>
    </r>
  </si>
  <si>
    <r>
      <t>V</t>
    </r>
    <r>
      <rPr>
        <vertAlign val="subscript"/>
        <sz val="10"/>
        <color theme="0"/>
        <rFont val="Arial"/>
        <family val="2"/>
      </rPr>
      <t>Sd,y/x</t>
    </r>
    <r>
      <rPr>
        <sz val="10"/>
        <color theme="0"/>
        <rFont val="Arial"/>
        <family val="2"/>
      </rPr>
      <t xml:space="preserve"> [kN/A]</t>
    </r>
  </si>
  <si>
    <r>
      <t>h</t>
    </r>
    <r>
      <rPr>
        <b/>
        <vertAlign val="subscript"/>
        <sz val="10"/>
        <color theme="0"/>
        <rFont val="Arial"/>
        <family val="2"/>
      </rPr>
      <t>T,eff,min</t>
    </r>
  </si>
  <si>
    <t>DESKTOP-KBJI55T</t>
  </si>
  <si>
    <t>PCB006A17</t>
  </si>
  <si>
    <t>Buerzle-PC1</t>
  </si>
  <si>
    <t>WEI-PC20160412H</t>
  </si>
  <si>
    <t>WTBOE112</t>
  </si>
  <si>
    <t>WTBOE14</t>
  </si>
  <si>
    <t>WORK-18003</t>
  </si>
  <si>
    <t>ANUSS</t>
  </si>
  <si>
    <t>5CG8312ZRC</t>
  </si>
  <si>
    <t>CZC83173MF</t>
  </si>
  <si>
    <t>5CG8312ZK0</t>
  </si>
  <si>
    <t>CAD01</t>
  </si>
  <si>
    <t>PC-01-2017</t>
  </si>
  <si>
    <t>LASUV-WKS-10116</t>
  </si>
  <si>
    <t>PC-01746</t>
  </si>
  <si>
    <t>PC-01847</t>
  </si>
  <si>
    <t>PC-01590</t>
  </si>
  <si>
    <t>PC-01796</t>
  </si>
  <si>
    <t>SP-20170101</t>
  </si>
  <si>
    <t>W530-01</t>
  </si>
  <si>
    <t>EMS</t>
  </si>
  <si>
    <t>w10-dachsj</t>
  </si>
  <si>
    <t>PC172</t>
  </si>
  <si>
    <t>LASUV-WKS-10098</t>
  </si>
  <si>
    <t>PC-HOLZAUFDERHE</t>
  </si>
  <si>
    <t>5CG8312ZQ3</t>
  </si>
  <si>
    <t>5CG8312ZT0</t>
  </si>
  <si>
    <t>5CG8312ZCD</t>
  </si>
  <si>
    <t>5CG8312ZJC</t>
  </si>
  <si>
    <t>5CG8312ZGP</t>
  </si>
  <si>
    <t>PCIT00044259</t>
  </si>
  <si>
    <t>PCBA-2018-10</t>
  </si>
  <si>
    <t>nblindschulte</t>
  </si>
  <si>
    <t>63CLGM2</t>
  </si>
  <si>
    <t>PC-01754</t>
  </si>
  <si>
    <t>ME-T460-03</t>
  </si>
  <si>
    <t>DESKTOP-U4VA9C4</t>
  </si>
  <si>
    <t>PC-MARKOTTEN</t>
  </si>
  <si>
    <t>S-AJJOUR</t>
  </si>
  <si>
    <t>PC-REISACHER2</t>
  </si>
  <si>
    <t>LOCZIM</t>
  </si>
  <si>
    <t>EDV-0526</t>
  </si>
  <si>
    <t>DA275</t>
  </si>
  <si>
    <t>HPZ240NDS</t>
  </si>
  <si>
    <t>NTWS-344</t>
  </si>
  <si>
    <t>PC-DIDSZUN</t>
  </si>
  <si>
    <t>WS71</t>
  </si>
  <si>
    <t>SLOESTER-PC</t>
  </si>
  <si>
    <t>PC-WOLF</t>
  </si>
  <si>
    <t>GuD-WST1403</t>
  </si>
  <si>
    <t>W10-X64-028</t>
  </si>
  <si>
    <t>PC-SCHWARZ</t>
  </si>
  <si>
    <t>CZC7368T6D</t>
  </si>
  <si>
    <t>S-Toepfer1</t>
  </si>
  <si>
    <t>S-SPETH</t>
  </si>
  <si>
    <t>PCRIE3</t>
  </si>
  <si>
    <t>PCTM</t>
  </si>
  <si>
    <t>PCKAI3</t>
  </si>
  <si>
    <t>KOPPEWIN7</t>
  </si>
  <si>
    <t>VOCKRODT-WIN10</t>
  </si>
  <si>
    <t>M74-Rinke</t>
  </si>
  <si>
    <t xml:space="preserve">	M59-HERRMANN</t>
  </si>
  <si>
    <t>PC38</t>
  </si>
  <si>
    <t>SBVPC210</t>
  </si>
  <si>
    <t>SBVPC211</t>
  </si>
  <si>
    <t>SBVPC212</t>
  </si>
  <si>
    <t>NODE01071</t>
  </si>
  <si>
    <t>BPT-TS-WRK-002</t>
  </si>
  <si>
    <t>M-PC</t>
  </si>
  <si>
    <t>PC-ERPENSTEIN</t>
  </si>
  <si>
    <t>PC-BIRGITWEBER</t>
  </si>
  <si>
    <t>PC-VAUPEL-WIN7</t>
  </si>
  <si>
    <t>WSZ240630</t>
  </si>
  <si>
    <t>HPZ240NDZ</t>
  </si>
  <si>
    <t>HPZ240NF9</t>
  </si>
  <si>
    <t>BBA-F-PC-TIETJR</t>
  </si>
  <si>
    <t>P558-RIEMANN</t>
  </si>
  <si>
    <t>CON-MOC-WIN7-01</t>
  </si>
  <si>
    <t>BPR-M-WRK-022</t>
  </si>
  <si>
    <t>PC-20190086-1</t>
  </si>
  <si>
    <t>CLIENT16</t>
  </si>
  <si>
    <t>ilp2nb06</t>
  </si>
  <si>
    <t>pc347</t>
  </si>
  <si>
    <t>RIG-01</t>
  </si>
  <si>
    <t>PC-W8-32</t>
  </si>
  <si>
    <t>Formel bei 850 Usern anpassen!</t>
  </si>
  <si>
    <t>trebes.local</t>
  </si>
  <si>
    <t>NE-PC6</t>
  </si>
  <si>
    <t>MM4-PC</t>
  </si>
  <si>
    <t>EDVMAYER150601P</t>
  </si>
  <si>
    <t>DESKTOP-JK20LGU</t>
  </si>
  <si>
    <t>HAL-PC-83</t>
  </si>
  <si>
    <t>HAL-PC-85</t>
  </si>
  <si>
    <t>DUSLT5CG8327LTZ</t>
  </si>
  <si>
    <t>PC-Richter</t>
  </si>
  <si>
    <t>S.LAP-CONSULT.COM</t>
  </si>
  <si>
    <t>RUNGGALDIER</t>
  </si>
  <si>
    <t>PC-23a</t>
  </si>
  <si>
    <t>GM0039799</t>
  </si>
  <si>
    <t>PC0145</t>
  </si>
  <si>
    <t>NB0035</t>
  </si>
  <si>
    <t>PC0012</t>
  </si>
  <si>
    <t>PC0103</t>
  </si>
  <si>
    <t>PC0112</t>
  </si>
  <si>
    <t>PC0140</t>
  </si>
  <si>
    <t>NB0021</t>
  </si>
  <si>
    <t>HTC30098</t>
  </si>
  <si>
    <t>RE248</t>
  </si>
  <si>
    <t>PC-LESCHHORN</t>
  </si>
  <si>
    <t>PC-WEGE</t>
  </si>
  <si>
    <t>PC-KK-22</t>
  </si>
  <si>
    <t>PC-CAD5</t>
  </si>
  <si>
    <t>pc346</t>
  </si>
  <si>
    <t>CM720-LIEGAU</t>
  </si>
  <si>
    <t>POLARSTERN</t>
  </si>
  <si>
    <t>KUENZEL</t>
  </si>
  <si>
    <t>BUSCH-PC</t>
  </si>
  <si>
    <t>PC12</t>
  </si>
  <si>
    <t>Workstation</t>
  </si>
  <si>
    <t>INGSK00</t>
  </si>
  <si>
    <t>volzc</t>
  </si>
  <si>
    <t>h-f.local</t>
  </si>
  <si>
    <t>UWE5-PC</t>
  </si>
  <si>
    <t>LAPP21</t>
  </si>
  <si>
    <t>GH-PC</t>
  </si>
  <si>
    <t>PC-Batke</t>
  </si>
  <si>
    <t>PC-Klostermann</t>
  </si>
  <si>
    <t>HAL-PC-92</t>
  </si>
  <si>
    <t>HAL-PC-73</t>
  </si>
  <si>
    <t>BS-161</t>
  </si>
  <si>
    <t>PC0837</t>
  </si>
  <si>
    <t>PC-W10-KL09</t>
  </si>
  <si>
    <t>ZMI-DBRUGGER</t>
  </si>
  <si>
    <t>ZMI-ASCHMITT</t>
  </si>
  <si>
    <t>SCHMERBACH-NEU</t>
  </si>
  <si>
    <t>User PC</t>
  </si>
  <si>
    <t>DIN EN 1992-4</t>
  </si>
  <si>
    <t>BUERO-3</t>
  </si>
  <si>
    <t>NO_11</t>
  </si>
  <si>
    <t>SCHOENBORN-PC</t>
  </si>
  <si>
    <t>PC-01817</t>
  </si>
  <si>
    <t>PCM2015008</t>
  </si>
  <si>
    <t>WIN10-H</t>
  </si>
  <si>
    <t>W10-TESTDIET</t>
  </si>
  <si>
    <t>PC-01924</t>
  </si>
  <si>
    <t>PC-01985</t>
  </si>
  <si>
    <t>LEI-PC20190515B</t>
  </si>
  <si>
    <t>W10-42</t>
  </si>
  <si>
    <t>W10-11</t>
  </si>
  <si>
    <t>DE0000373</t>
  </si>
  <si>
    <t>PC-BIN</t>
  </si>
  <si>
    <t>PC-SMK</t>
  </si>
  <si>
    <t>PC-FE</t>
  </si>
  <si>
    <t>PC-AL</t>
  </si>
  <si>
    <t>PC-STO</t>
  </si>
  <si>
    <t>PC-FRI</t>
  </si>
  <si>
    <t>PC-DU</t>
  </si>
  <si>
    <t>PC-RN</t>
  </si>
  <si>
    <t>PC-HEB</t>
  </si>
  <si>
    <t>TOSHIBA-C70</t>
  </si>
  <si>
    <t>WEI-PC20160412B</t>
  </si>
  <si>
    <t>WEI-PC20160412E</t>
  </si>
  <si>
    <t>WEI-PC20150922</t>
  </si>
  <si>
    <t>VOOS-ARTUR</t>
  </si>
  <si>
    <t>Streckgrenze Bewehrungsstahl</t>
  </si>
  <si>
    <t>Teilsicherheitsbeiwert</t>
  </si>
  <si>
    <t xml:space="preserve">Zugkraft-Einwirkung </t>
  </si>
  <si>
    <r>
      <t>N</t>
    </r>
    <r>
      <rPr>
        <vertAlign val="subscript"/>
        <sz val="10"/>
        <rFont val="Arial"/>
        <family val="2"/>
      </rPr>
      <t>sd,y,direkt</t>
    </r>
  </si>
  <si>
    <r>
      <t>f</t>
    </r>
    <r>
      <rPr>
        <vertAlign val="subscript"/>
        <sz val="10"/>
        <rFont val="Arial"/>
        <family val="2"/>
      </rPr>
      <t>yk</t>
    </r>
  </si>
  <si>
    <r>
      <t>[N/mm</t>
    </r>
    <r>
      <rPr>
        <vertAlign val="superscript"/>
        <sz val="10"/>
        <rFont val="Arial"/>
        <family val="2"/>
      </rPr>
      <t>2</t>
    </r>
    <r>
      <rPr>
        <sz val="10"/>
        <rFont val="Arial"/>
        <family val="2"/>
      </rPr>
      <t>]</t>
    </r>
  </si>
  <si>
    <r>
      <t>γ</t>
    </r>
    <r>
      <rPr>
        <vertAlign val="subscript"/>
        <sz val="10"/>
        <rFont val="Arial"/>
        <family val="2"/>
      </rPr>
      <t>s</t>
    </r>
  </si>
  <si>
    <r>
      <t>A</t>
    </r>
    <r>
      <rPr>
        <vertAlign val="subscript"/>
        <sz val="10"/>
        <rFont val="Arial"/>
        <family val="2"/>
      </rPr>
      <t>s,erf.</t>
    </r>
  </si>
  <si>
    <r>
      <t>[cm</t>
    </r>
    <r>
      <rPr>
        <vertAlign val="superscript"/>
        <sz val="10"/>
        <rFont val="Arial"/>
        <family val="2"/>
      </rPr>
      <t>2</t>
    </r>
    <r>
      <rPr>
        <sz val="10"/>
        <rFont val="Arial"/>
        <family val="2"/>
      </rPr>
      <t>/m]</t>
    </r>
  </si>
  <si>
    <t>Erforderlicher Stahlquerschnitt</t>
  </si>
  <si>
    <t>Anschlußbewehrung</t>
  </si>
  <si>
    <r>
      <t>Die direkt einwirkende Querkraft V</t>
    </r>
    <r>
      <rPr>
        <vertAlign val="subscript"/>
        <sz val="10"/>
        <rFont val="Arial"/>
        <family val="2"/>
      </rPr>
      <t>sd,y,direkt</t>
    </r>
    <r>
      <rPr>
        <sz val="10"/>
        <rFont val="Arial"/>
        <family val="2"/>
      </rPr>
      <t xml:space="preserve"> wird durch die Anschlußbewehrung aufgenommen:</t>
    </r>
  </si>
  <si>
    <t>Die nachträgliche Verankerung der gewählten Bewehrungsstäbe erfolgt mit den Injektions-
mörtelsystemen HIT-HY 200-A/-R oder HIT-RE 500 V3 entsprechend der jeweiligen ETA und abZ für nachträgliche Bewehrungsanschlüsse.
Siehe gesonderte Angaben.</t>
  </si>
  <si>
    <t>Abstand der Anschlußbewehrung Ø 14</t>
  </si>
  <si>
    <t>Abstand der Anschlußbewehrung Ø 16</t>
  </si>
  <si>
    <t>Abstand der Anschlußbewehrung Ø 20</t>
  </si>
  <si>
    <r>
      <t>d</t>
    </r>
    <r>
      <rPr>
        <vertAlign val="subscript"/>
        <sz val="10"/>
        <rFont val="Arial"/>
        <family val="2"/>
      </rPr>
      <t>s</t>
    </r>
    <r>
      <rPr>
        <sz val="10"/>
        <rFont val="Arial"/>
        <family val="2"/>
      </rPr>
      <t xml:space="preserve"> = 14:</t>
    </r>
  </si>
  <si>
    <r>
      <t>d</t>
    </r>
    <r>
      <rPr>
        <vertAlign val="subscript"/>
        <sz val="10"/>
        <rFont val="Arial"/>
        <family val="2"/>
      </rPr>
      <t>s</t>
    </r>
    <r>
      <rPr>
        <sz val="10"/>
        <rFont val="Arial"/>
        <family val="2"/>
      </rPr>
      <t xml:space="preserve"> = 16:</t>
    </r>
  </si>
  <si>
    <r>
      <t>d</t>
    </r>
    <r>
      <rPr>
        <vertAlign val="subscript"/>
        <sz val="10"/>
        <rFont val="Arial"/>
        <family val="2"/>
      </rPr>
      <t>s</t>
    </r>
    <r>
      <rPr>
        <sz val="10"/>
        <rFont val="Arial"/>
        <family val="2"/>
      </rPr>
      <t xml:space="preserve"> = 20:</t>
    </r>
  </si>
  <si>
    <t>Nenndurchmesser und Abstände:</t>
  </si>
  <si>
    <t>PEGASUS</t>
  </si>
  <si>
    <t>PC-W10-JSM</t>
  </si>
  <si>
    <t>PC0891</t>
  </si>
  <si>
    <t>ec467</t>
  </si>
  <si>
    <t>voss-w10-ap</t>
  </si>
  <si>
    <t>96Y6BV2</t>
  </si>
  <si>
    <t>S-AUG-BEYER2</t>
  </si>
  <si>
    <t>OK-eng-Büro</t>
  </si>
  <si>
    <t>Nutzer-PC</t>
  </si>
  <si>
    <t>PC0892</t>
  </si>
  <si>
    <t>LAPTOP-0K27HOFQ</t>
  </si>
  <si>
    <t>M-SEETHALER</t>
  </si>
  <si>
    <t>FUE1</t>
  </si>
  <si>
    <t>PC-001</t>
  </si>
  <si>
    <t>AP-006</t>
  </si>
  <si>
    <t>ICS-4</t>
  </si>
  <si>
    <t>GM0039711</t>
  </si>
  <si>
    <t>DE0000922</t>
  </si>
  <si>
    <t>GM0040293</t>
  </si>
  <si>
    <t>DE0000348</t>
  </si>
  <si>
    <t>buero2-PC</t>
  </si>
  <si>
    <t>PCM2019011</t>
  </si>
  <si>
    <t>AP-BAUER</t>
  </si>
  <si>
    <t>MKLOTZKE</t>
  </si>
  <si>
    <t>BPR-B-WRK037</t>
  </si>
  <si>
    <t>RE275</t>
  </si>
  <si>
    <t>NBKOEPPLJ</t>
  </si>
  <si>
    <t>WORK-19004</t>
  </si>
  <si>
    <t>HFR-LAPTOP3</t>
  </si>
  <si>
    <t>SXH</t>
  </si>
  <si>
    <t>EXR</t>
  </si>
  <si>
    <t>KSIC-335W10B64.KSIC.local</t>
  </si>
  <si>
    <t>KSIC-358W10B64.KSIC.local</t>
  </si>
  <si>
    <t>KSIC-348W10B64.KSIC.local</t>
  </si>
  <si>
    <t>KSIC-345W10B64.KSIC.local</t>
  </si>
  <si>
    <t>EDV-700180</t>
  </si>
  <si>
    <t>EDV-110805</t>
  </si>
  <si>
    <t>CZC840867J</t>
  </si>
  <si>
    <t>ec14</t>
  </si>
  <si>
    <t>ZHANG10-PC</t>
  </si>
  <si>
    <t>Vogelsang10-PC</t>
  </si>
  <si>
    <t>W10-Gruber</t>
  </si>
  <si>
    <t>CLIENT05</t>
  </si>
  <si>
    <t>DE-657-7493-532</t>
  </si>
  <si>
    <t>DE-657-7493-534</t>
  </si>
  <si>
    <t>DE-657-7493-531</t>
  </si>
  <si>
    <t>DE-657-7458-272</t>
  </si>
  <si>
    <t>DE-657-7440-428</t>
  </si>
  <si>
    <t>DE-657-7453-081</t>
  </si>
  <si>
    <t>DE-657-7481-401</t>
  </si>
  <si>
    <t>win7-11-1</t>
  </si>
  <si>
    <t>BPR-M-WRK-006</t>
  </si>
  <si>
    <t xml:space="preserve">IBS-L5500 </t>
  </si>
  <si>
    <t>SP-20180823</t>
  </si>
  <si>
    <t>SP-20191201</t>
  </si>
  <si>
    <t>WS-IFW-09</t>
  </si>
  <si>
    <t>WS-IFW-08</t>
  </si>
  <si>
    <t>WS-IFW-02</t>
  </si>
  <si>
    <t>WS-IFW-07</t>
  </si>
  <si>
    <t>PC52</t>
  </si>
  <si>
    <t>NB-JGUCKENHAN19</t>
  </si>
  <si>
    <t>CLN-A-64</t>
  </si>
  <si>
    <t>LT-12</t>
  </si>
  <si>
    <t>HAL-PC-93</t>
  </si>
  <si>
    <t>Pollmann-P53</t>
  </si>
  <si>
    <t>Pollmann-PC</t>
  </si>
  <si>
    <t>BIT-102</t>
  </si>
  <si>
    <t>SPEF-18-20609</t>
  </si>
  <si>
    <t>TJN-Z240</t>
  </si>
  <si>
    <t>ADR-Z240</t>
  </si>
  <si>
    <t>PKH-Z2-G4-2019</t>
  </si>
  <si>
    <t>PVN-Z2-G4-2019</t>
  </si>
  <si>
    <t>SEILERPC</t>
  </si>
  <si>
    <t>PC-WIENEKE</t>
  </si>
  <si>
    <t>PC-DUNKELBERG</t>
  </si>
  <si>
    <t>gr-kup</t>
  </si>
  <si>
    <t>JW-2020</t>
  </si>
  <si>
    <t>WERNER-PC</t>
  </si>
  <si>
    <t>ec125</t>
  </si>
  <si>
    <t>DESKTOP-2KEVLNS</t>
  </si>
  <si>
    <t>M0155PC001</t>
  </si>
  <si>
    <t>PC-Stud1</t>
  </si>
  <si>
    <t>WVWS07</t>
  </si>
  <si>
    <t>PC-WEISE</t>
  </si>
  <si>
    <t>UGUR2019</t>
  </si>
  <si>
    <t>PCW10SAUNIER</t>
  </si>
  <si>
    <t>PCW10MAZIERS</t>
  </si>
  <si>
    <t>PC-02012</t>
  </si>
  <si>
    <t>IBW-PC-05</t>
  </si>
  <si>
    <t>SKuenne-PC</t>
  </si>
  <si>
    <t>Iliopoulos10-PC</t>
  </si>
  <si>
    <t>M-SOLATI</t>
  </si>
  <si>
    <t>T-MEINKE</t>
  </si>
  <si>
    <t>LAPTOP-P73</t>
  </si>
  <si>
    <t>W12DE-i7PKH642</t>
  </si>
  <si>
    <t>W16DE-i6RL5KF2</t>
  </si>
  <si>
    <t>W16DE-iD2DLS62</t>
  </si>
  <si>
    <t>W20DE-i8N4WJ23</t>
  </si>
  <si>
    <t>CO-Leinung1</t>
  </si>
  <si>
    <t>C2</t>
  </si>
  <si>
    <t>MUC-030</t>
  </si>
  <si>
    <t>PC0683</t>
  </si>
  <si>
    <t>EDV-700219</t>
  </si>
  <si>
    <t>Antje-10</t>
  </si>
  <si>
    <t>SP-20190419</t>
  </si>
  <si>
    <t>PC056</t>
  </si>
  <si>
    <t>ANDREASC-PC64</t>
  </si>
  <si>
    <t>AndreasG-10</t>
  </si>
  <si>
    <t>ARCHIV-PC64</t>
  </si>
  <si>
    <t>GLORIUS-PC</t>
  </si>
  <si>
    <t>DESKTOP-DL7TJ7O</t>
  </si>
  <si>
    <t>SPF-19-1D005</t>
  </si>
  <si>
    <t>WIN7-33</t>
  </si>
  <si>
    <t>HT124-W7-TKUKLA</t>
  </si>
  <si>
    <t>PCHP705-01</t>
  </si>
  <si>
    <t>HT137-W7-SOBERS</t>
  </si>
  <si>
    <t>K136197MO</t>
  </si>
  <si>
    <t>STATIK-04</t>
  </si>
  <si>
    <t>HEIDE-LT</t>
  </si>
  <si>
    <t>HFRMOBIL2</t>
  </si>
  <si>
    <t>CZC80987ML</t>
  </si>
  <si>
    <t>WKS06</t>
  </si>
  <si>
    <t>NB04</t>
  </si>
  <si>
    <t>NB16</t>
  </si>
  <si>
    <t>CELSIUS-FK19</t>
  </si>
  <si>
    <t>PCD0238</t>
  </si>
  <si>
    <t>ETA-16/0143 Injektionssystem Hilti HIT-RE 500 V3</t>
  </si>
  <si>
    <t>switz-PC</t>
  </si>
  <si>
    <t>EC1711619D</t>
  </si>
  <si>
    <t>Auszüge aus ETA-16/0143:</t>
  </si>
  <si>
    <t>W10-X64-053</t>
  </si>
  <si>
    <t>BARTH2018</t>
  </si>
  <si>
    <t>PC-02049</t>
  </si>
  <si>
    <t>SBU-CL-W1010</t>
  </si>
  <si>
    <t>5CD0111H6W</t>
  </si>
  <si>
    <t>FTS-YLNF035844</t>
  </si>
  <si>
    <t xml:space="preserve">Hein-w10-ap </t>
  </si>
  <si>
    <t>pc-mulflur-20</t>
  </si>
  <si>
    <t>PCWIN8107</t>
  </si>
  <si>
    <t>SIPC11</t>
  </si>
  <si>
    <t>PC-GEORG-RAMPF</t>
  </si>
  <si>
    <t>AEgerer-SF</t>
  </si>
  <si>
    <t>PCM2017003</t>
  </si>
  <si>
    <t>EDV-700140</t>
  </si>
  <si>
    <t>DESKTOP-V8PBT0K</t>
  </si>
  <si>
    <t>HTC27246</t>
  </si>
  <si>
    <t>HTC27710</t>
  </si>
  <si>
    <t>STATIK-03</t>
  </si>
  <si>
    <t>O380A</t>
  </si>
  <si>
    <t>O5050B</t>
  </si>
  <si>
    <t>HAN-CADPC04</t>
  </si>
  <si>
    <t>RPW-12-2019</t>
  </si>
  <si>
    <t>CLIENT09</t>
  </si>
  <si>
    <t>SRP-KC-181</t>
  </si>
  <si>
    <t>PCFLESCH101</t>
  </si>
  <si>
    <t>PCFLESCH102</t>
  </si>
  <si>
    <t>PCFLESCH103</t>
  </si>
  <si>
    <t>PC-FDEWES17</t>
  </si>
  <si>
    <t>BPR-M-NTB-008</t>
  </si>
  <si>
    <t>M-HOLLEGGER</t>
  </si>
  <si>
    <t>M-WELSCH</t>
  </si>
  <si>
    <t>HFR2020-09</t>
  </si>
  <si>
    <t>DESKTOP-MELT061</t>
  </si>
  <si>
    <t>TUNGER10-PC</t>
  </si>
  <si>
    <t>DESKTOP-66V63R6</t>
  </si>
  <si>
    <t>PAVAO</t>
  </si>
  <si>
    <t>DAXL-2</t>
  </si>
  <si>
    <t>jakaz</t>
  </si>
  <si>
    <t>matjazb</t>
  </si>
  <si>
    <t>BEWK-7</t>
  </si>
  <si>
    <t>DESKTOP-60C39JO</t>
  </si>
  <si>
    <t>Platz8</t>
  </si>
  <si>
    <t>Heldrung</t>
  </si>
  <si>
    <t>PC-SIN</t>
  </si>
  <si>
    <t>SBU-CL-W1014</t>
  </si>
  <si>
    <t>PC-W10-HHM</t>
  </si>
  <si>
    <t>B687-W-D423776</t>
  </si>
  <si>
    <t>MULTIMONITOR-W7</t>
  </si>
  <si>
    <t>PC-W10-KL08</t>
  </si>
  <si>
    <t>1. Dübelsystem HIT-RE 500 nach ETA-16/0143
2. Dichtheitsprüfungen nach RVS 15.04.12; Bericht Nr. 103/16 und 105/16 der Bautechnischen 
    Versuchsanstalt an der HTL Rankweil
3. Dichtheitsprüfung nach Anforderungen der ABD Südbayern unter dynamischer Querkraft-
    Einwirkung; Bericht Nr. 149/16 der Bautechnischen Versuchsanstalt an der HTL Rankweil</t>
  </si>
  <si>
    <t>Charakt. Zugtragfähigkeit lt. DIN EN 1992-4</t>
  </si>
  <si>
    <t xml:space="preserve">Charakt. Achsabstand </t>
  </si>
  <si>
    <t>Fläche lt. DIN EN 1992-4</t>
  </si>
  <si>
    <t>Charakt. Quertragfähigkeit lt. DIN EN 1992-4</t>
  </si>
  <si>
    <t>Charakt. Achsabstand</t>
  </si>
  <si>
    <t>Charakt. Zugtragfähigkeit</t>
  </si>
  <si>
    <t>Charakt. Quertragfähigkeit</t>
  </si>
  <si>
    <t>Charakt. Achsabstand DIN EN 1992-4</t>
  </si>
  <si>
    <t>Charakt. Zugtragfähigkeit DIN EN 1992-4</t>
  </si>
  <si>
    <t>Charakteristische Zugtragfähigkeit lt. DIN EN 1992-4</t>
  </si>
  <si>
    <t>Lieferung und Montage
Kappenverankerung entsprechend statischen und konstruktiven Erfordernissen nach Unterlagen des AG 
einschließlich Abdichtung und Zubehör herstellen.
Injektionsanker zugelassen für gerissenen Beton. 
Bei Verwendung Hohlbohrer mit Staubsauger kann Bohrlochreinigung entfallen. 
Ein Prüfbericht zur Dichtheit des Kappenankers in der Dichtungsschicht ist vorzulegen.
Einbau zwischen den Querspanngliedern im eingemessenen Bereich. Querspannglieder und deren Verankerungen dürfen nicht beschädigt werden.
Einbauort = Außenkappe/ Mittelkappe
Verbundanker M16 / M20 / M24 aus nichtrostendem Stahl (A4-70; Korr.-Widerstandskl. III)
Erzeugnis: Hilti Kappenverankerung bestehend aus
Injektionsmörtel-System HIT-RE 500 V3
HCC-HIT-V(-C)-R M...x... und zugehöriger Stauscheibe HIW-SD oder glw.  
Kopfplatte HCC-KP-R M20 / M24 
Verankerungslänge im Tragwerk = ... cm, Verankerungslänge in Kappe (Kopfbolzen) = ... cm
in hammergebohrten Löchern mit automatischer Selbstreinigung (staubfreie Bohrlocherstellung) - SAFEset oder
in hammergebohrten Löchern mit Bohrlochreinigung
Einbau und Montage gem. Europäisch Technischer Zulassung/Bewertung ETA-16/0143
 </t>
  </si>
  <si>
    <t>LEISTNER29</t>
  </si>
  <si>
    <t>C14</t>
  </si>
  <si>
    <t>C15</t>
  </si>
  <si>
    <t>C13</t>
  </si>
  <si>
    <t>KHP-LAPTOP-SI</t>
  </si>
  <si>
    <t>KNUT1</t>
  </si>
  <si>
    <t>PC29</t>
  </si>
  <si>
    <t>pci</t>
  </si>
  <si>
    <t>PC-29413</t>
  </si>
  <si>
    <t>DP-020M-BG</t>
  </si>
  <si>
    <t>DESKTOP-75TBD1H</t>
  </si>
  <si>
    <t>DESKTOP-DMDJECP</t>
  </si>
  <si>
    <t>DESKTOP-1A9CU72</t>
  </si>
  <si>
    <t>KARLIKOWSKI-PC</t>
  </si>
  <si>
    <t>BIRGITWEBER-W10</t>
  </si>
  <si>
    <t>PC-33</t>
  </si>
  <si>
    <t>IBG-1</t>
  </si>
  <si>
    <t>EBWEW1007</t>
  </si>
  <si>
    <t>EBWEW1009</t>
  </si>
  <si>
    <t>PCM2019013</t>
  </si>
  <si>
    <t>WFS061</t>
  </si>
  <si>
    <t>Konferenzraum</t>
  </si>
  <si>
    <t>PC-LIFKA</t>
  </si>
  <si>
    <t>Weber</t>
  </si>
  <si>
    <t>PCM0048</t>
  </si>
  <si>
    <t>PC065521</t>
  </si>
  <si>
    <t>PC065508</t>
  </si>
  <si>
    <t>PC066353</t>
  </si>
  <si>
    <t>PC065511</t>
  </si>
  <si>
    <t>SBL1164</t>
  </si>
  <si>
    <t>cosenza</t>
  </si>
  <si>
    <t>NB14</t>
  </si>
  <si>
    <t xml:space="preserve">HILTI Design-Tool Kappenverankerung 8.3            </t>
  </si>
  <si>
    <t>Version gültig bis 30.04.2021</t>
  </si>
  <si>
    <r>
      <rPr>
        <b/>
        <vertAlign val="superscript"/>
        <sz val="8"/>
        <rFont val="Arial"/>
        <family val="2"/>
      </rPr>
      <t xml:space="preserve">1) </t>
    </r>
    <r>
      <rPr>
        <b/>
        <sz val="8"/>
        <rFont val="Arial"/>
        <family val="2"/>
      </rPr>
      <t>Quelle: DIN EN 1991-2, 4.7.3.3 Absatz (2) und Technische Übersichtsliste BASt mit Einwirkungen am Pfostenfuß als Linienlast je m, Stand 04/2018</t>
    </r>
  </si>
  <si>
    <r>
      <rPr>
        <b/>
        <vertAlign val="superscript"/>
        <sz val="8"/>
        <rFont val="Arial"/>
        <family val="2"/>
      </rPr>
      <t>2)</t>
    </r>
    <r>
      <rPr>
        <b/>
        <sz val="8"/>
        <rFont val="Arial"/>
        <family val="2"/>
      </rPr>
      <t xml:space="preserve"> Quelle: DIN EN 1991-2, 4.7.3.3 Absatz (2) und Gütegemeinschaft Stahlschutzplanken e.V. mit Einwirkungen je FRS-Pfostenfuß (1,33 m), Stand 01/2017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</si>
</sst>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0.00_);[Red]\(&quot;€&quot;#,##0.00\)"/>
    <numFmt numFmtId="165" formatCode="0.000"/>
    <numFmt numFmtId="166" formatCode="0.0"/>
    <numFmt numFmtId="167" formatCode="0.00000"/>
    <numFmt numFmtId="168" formatCode="0.0\ &quot;kNm/m&quot;"/>
    <numFmt numFmtId="169" formatCode="0.0\ &quot;kN/m&quot;"/>
    <numFmt numFmtId="170" formatCode="0.0\ &quot;kN&quot;"/>
    <numFmt numFmtId="171" formatCode="0.0\ &quot;%&quot;"/>
    <numFmt numFmtId="172" formatCode="dd/mm/yy;@"/>
    <numFmt numFmtId="173" formatCode="#,##0.000"/>
    <numFmt numFmtId="174" formatCode="&quot;HCC-HIT-C-R M16x&quot;#"/>
    <numFmt numFmtId="175" formatCode="[$-407]General"/>
  </numFmts>
  <fonts count="14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indexed="8"/>
      <name val="Arial"/>
      <family val="2"/>
    </font>
    <font>
      <sz val="10"/>
      <name val="Arial"/>
      <family val="2"/>
    </font>
    <font>
      <sz val="10"/>
      <name val="Arial"/>
      <family val="2"/>
    </font>
    <font>
      <vertAlign val="subscript"/>
      <sz val="10"/>
      <name val="Arial"/>
      <family val="2"/>
    </font>
    <font>
      <sz val="8"/>
      <name val="Arial"/>
      <family val="2"/>
    </font>
    <font>
      <b/>
      <sz val="10"/>
      <name val="Arial"/>
      <family val="2"/>
    </font>
    <font>
      <vertAlign val="superscript"/>
      <sz val="10"/>
      <name val="Arial"/>
      <family val="2"/>
    </font>
    <font>
      <b/>
      <vertAlign val="subscript"/>
      <sz val="10"/>
      <name val="Arial"/>
      <family val="2"/>
    </font>
    <font>
      <b/>
      <sz val="12"/>
      <name val="Arial"/>
      <family val="2"/>
    </font>
    <font>
      <b/>
      <sz val="14"/>
      <name val="Arial"/>
      <family val="2"/>
    </font>
    <font>
      <sz val="10"/>
      <color indexed="9"/>
      <name val="Arial"/>
      <family val="2"/>
    </font>
    <font>
      <b/>
      <sz val="10"/>
      <color indexed="8"/>
      <name val="Arial"/>
      <family val="2"/>
    </font>
    <font>
      <sz val="10"/>
      <color indexed="9"/>
      <name val="Arial"/>
      <family val="2"/>
    </font>
    <font>
      <b/>
      <sz val="12"/>
      <color indexed="9"/>
      <name val="Arial"/>
      <family val="2"/>
    </font>
    <font>
      <i/>
      <sz val="10"/>
      <name val="Arial"/>
      <family val="2"/>
    </font>
    <font>
      <sz val="10"/>
      <name val="Symbol"/>
      <family val="1"/>
      <charset val="2"/>
    </font>
    <font>
      <b/>
      <sz val="10"/>
      <name val="Symbol"/>
      <family val="1"/>
      <charset val="2"/>
    </font>
    <font>
      <b/>
      <sz val="10"/>
      <name val="Arial"/>
      <family val="2"/>
    </font>
    <font>
      <u/>
      <sz val="10"/>
      <color indexed="12"/>
      <name val="Arial"/>
      <family val="2"/>
    </font>
    <font>
      <sz val="10"/>
      <color indexed="10"/>
      <name val="Arial"/>
      <family val="2"/>
    </font>
    <font>
      <sz val="10"/>
      <color indexed="10"/>
      <name val="Arial"/>
      <family val="2"/>
    </font>
    <font>
      <b/>
      <sz val="14"/>
      <color indexed="9"/>
      <name val="Arial"/>
      <family val="2"/>
    </font>
    <font>
      <sz val="10"/>
      <name val="Arial"/>
      <family val="2"/>
    </font>
    <font>
      <b/>
      <u/>
      <sz val="14"/>
      <name val="Arial"/>
      <family val="2"/>
    </font>
    <font>
      <b/>
      <u/>
      <sz val="14"/>
      <name val="Arial"/>
      <family val="2"/>
    </font>
    <font>
      <sz val="10"/>
      <name val="Arial"/>
      <family val="2"/>
    </font>
    <font>
      <sz val="10"/>
      <color indexed="11"/>
      <name val="Arial"/>
      <family val="2"/>
    </font>
    <font>
      <b/>
      <sz val="10"/>
      <color indexed="10"/>
      <name val="Arial"/>
      <family val="2"/>
    </font>
    <font>
      <sz val="10"/>
      <color indexed="52"/>
      <name val="Arial"/>
      <family val="2"/>
    </font>
    <font>
      <b/>
      <u/>
      <sz val="10"/>
      <name val="Arial"/>
      <family val="2"/>
    </font>
    <font>
      <sz val="10"/>
      <color indexed="51"/>
      <name val="Arial"/>
      <family val="2"/>
    </font>
    <font>
      <b/>
      <sz val="12"/>
      <color indexed="10"/>
      <name val="Arial"/>
      <family val="2"/>
    </font>
    <font>
      <b/>
      <sz val="11"/>
      <name val="Arial"/>
      <family val="2"/>
    </font>
    <font>
      <b/>
      <sz val="10"/>
      <color indexed="8"/>
      <name val="Arial"/>
      <family val="2"/>
    </font>
    <font>
      <vertAlign val="subscript"/>
      <sz val="10"/>
      <color indexed="8"/>
      <name val="Arial"/>
      <family val="2"/>
    </font>
    <font>
      <b/>
      <vertAlign val="subscript"/>
      <sz val="10"/>
      <color indexed="8"/>
      <name val="Arial"/>
      <family val="2"/>
    </font>
    <font>
      <vertAlign val="superscript"/>
      <sz val="10"/>
      <color indexed="8"/>
      <name val="Arial"/>
      <family val="2"/>
    </font>
    <font>
      <sz val="8"/>
      <name val="Arial"/>
      <family val="2"/>
    </font>
    <font>
      <sz val="10"/>
      <color rgb="FFFF0000"/>
      <name val="Arial"/>
      <family val="2"/>
    </font>
    <font>
      <sz val="10"/>
      <color theme="3" tint="0.39997558519241921"/>
      <name val="Arial"/>
      <family val="2"/>
    </font>
    <font>
      <sz val="10"/>
      <color theme="0"/>
      <name val="Arial"/>
      <family val="2"/>
    </font>
    <font>
      <b/>
      <sz val="9"/>
      <color indexed="81"/>
      <name val="Tahoma"/>
      <family val="2"/>
    </font>
    <font>
      <b/>
      <sz val="12"/>
      <color rgb="FFC00000"/>
      <name val="Arial"/>
      <family val="2"/>
    </font>
    <font>
      <b/>
      <sz val="10"/>
      <color rgb="FFFF0000"/>
      <name val="Arial"/>
      <family val="2"/>
    </font>
    <font>
      <b/>
      <sz val="10"/>
      <color rgb="FFC00000"/>
      <name val="Arial"/>
      <family val="2"/>
    </font>
    <font>
      <b/>
      <sz val="10"/>
      <color theme="0" tint="-0.34998626667073579"/>
      <name val="Arial"/>
      <family val="2"/>
    </font>
    <font>
      <sz val="10"/>
      <color theme="0" tint="-0.34998626667073579"/>
      <name val="Arial"/>
      <family val="2"/>
    </font>
    <font>
      <vertAlign val="superscript"/>
      <sz val="10"/>
      <color theme="0" tint="-0.34998626667073579"/>
      <name val="Arial"/>
      <family val="2"/>
    </font>
    <font>
      <vertAlign val="subscript"/>
      <sz val="10"/>
      <color theme="0" tint="-0.34998626667073579"/>
      <name val="Arial"/>
      <family val="2"/>
    </font>
    <font>
      <b/>
      <vertAlign val="subscript"/>
      <sz val="10"/>
      <color theme="0" tint="-0.34998626667073579"/>
      <name val="Arial"/>
      <family val="2"/>
    </font>
    <font>
      <sz val="10"/>
      <color rgb="FF00B050"/>
      <name val="Arial"/>
      <family val="2"/>
    </font>
    <font>
      <b/>
      <sz val="10"/>
      <color rgb="FF00B050"/>
      <name val="Arial"/>
      <family val="2"/>
    </font>
    <font>
      <b/>
      <sz val="10"/>
      <color theme="1"/>
      <name val="Arial"/>
      <family val="2"/>
    </font>
    <font>
      <vertAlign val="subscript"/>
      <sz val="10"/>
      <color theme="1"/>
      <name val="Arial"/>
      <family val="2"/>
    </font>
    <font>
      <b/>
      <vertAlign val="subscript"/>
      <sz val="10"/>
      <color theme="1"/>
      <name val="Arial"/>
      <family val="2"/>
    </font>
    <font>
      <vertAlign val="superscript"/>
      <sz val="10"/>
      <color theme="1"/>
      <name val="Arial"/>
      <family val="2"/>
    </font>
    <font>
      <b/>
      <sz val="11"/>
      <color theme="1"/>
      <name val="Arial"/>
      <family val="2"/>
    </font>
    <font>
      <b/>
      <u/>
      <sz val="10"/>
      <color rgb="FFFF0000"/>
      <name val="Arial"/>
      <family val="2"/>
    </font>
    <font>
      <b/>
      <sz val="14"/>
      <color rgb="FFC00000"/>
      <name val="Arial"/>
      <family val="2"/>
    </font>
    <font>
      <sz val="14"/>
      <name val="Arial"/>
      <family val="2"/>
    </font>
    <font>
      <sz val="14"/>
      <color rgb="FFFF0000"/>
      <name val="Arial"/>
      <family val="2"/>
    </font>
    <font>
      <b/>
      <sz val="14"/>
      <color rgb="FFFF0000"/>
      <name val="Arial"/>
      <family val="2"/>
    </font>
    <font>
      <sz val="10"/>
      <color rgb="FFC00000"/>
      <name val="Arial"/>
      <family val="2"/>
    </font>
    <font>
      <b/>
      <u/>
      <sz val="14"/>
      <color indexed="12"/>
      <name val="Arial"/>
      <family val="2"/>
    </font>
    <font>
      <b/>
      <sz val="11"/>
      <color indexed="10"/>
      <name val="Arial"/>
      <family val="2"/>
    </font>
    <font>
      <sz val="11"/>
      <name val="Arial"/>
      <family val="2"/>
    </font>
    <font>
      <sz val="9"/>
      <color indexed="81"/>
      <name val="Tahoma"/>
      <family val="2"/>
    </font>
    <font>
      <sz val="10"/>
      <color theme="0" tint="-0.249977111117893"/>
      <name val="Arial"/>
      <family val="2"/>
    </font>
    <font>
      <b/>
      <u/>
      <sz val="10"/>
      <color theme="0" tint="-0.249977111117893"/>
      <name val="Arial"/>
      <family val="2"/>
    </font>
    <font>
      <sz val="11"/>
      <color theme="1"/>
      <name val="Arial"/>
      <family val="2"/>
    </font>
    <font>
      <b/>
      <sz val="10"/>
      <color theme="0"/>
      <name val="Arial"/>
      <family val="2"/>
    </font>
    <font>
      <b/>
      <u/>
      <sz val="11"/>
      <color indexed="81"/>
      <name val="Arial"/>
      <family val="2"/>
    </font>
    <font>
      <b/>
      <sz val="11"/>
      <color indexed="81"/>
      <name val="Arial"/>
      <family val="2"/>
    </font>
    <font>
      <b/>
      <u/>
      <sz val="11"/>
      <name val="Arial"/>
      <family val="2"/>
    </font>
    <font>
      <sz val="10"/>
      <color rgb="FF00B050"/>
      <name val="Symbol"/>
      <family val="1"/>
      <charset val="2"/>
    </font>
    <font>
      <b/>
      <sz val="11"/>
      <color rgb="FFC00000"/>
      <name val="Arial"/>
      <family val="2"/>
    </font>
    <font>
      <u/>
      <sz val="10"/>
      <color theme="10"/>
      <name val="Arial"/>
      <family val="2"/>
    </font>
    <font>
      <sz val="10"/>
      <color rgb="FF1F497D"/>
      <name val="Arial"/>
      <family val="2"/>
    </font>
    <font>
      <b/>
      <sz val="12"/>
      <color rgb="FF000000"/>
      <name val="Arial"/>
      <family val="2"/>
    </font>
    <font>
      <b/>
      <sz val="10"/>
      <color rgb="FF000000"/>
      <name val="Arial"/>
      <family val="2"/>
    </font>
    <font>
      <sz val="11"/>
      <color rgb="FF000000"/>
      <name val="Segoe UI"/>
      <family val="2"/>
    </font>
    <font>
      <i/>
      <sz val="10"/>
      <color rgb="FF000000"/>
      <name val="Arial"/>
      <family val="2"/>
    </font>
    <font>
      <b/>
      <sz val="10"/>
      <color rgb="FF000000"/>
      <name val="Arial"/>
      <family val="2"/>
    </font>
    <font>
      <sz val="10"/>
      <color rgb="FF000000"/>
      <name val="Arial"/>
      <family val="2"/>
    </font>
    <font>
      <b/>
      <vertAlign val="subscript"/>
      <sz val="11"/>
      <color indexed="81"/>
      <name val="Arial"/>
      <family val="2"/>
    </font>
    <font>
      <b/>
      <vertAlign val="superscript"/>
      <sz val="10"/>
      <name val="Arial"/>
      <family val="2"/>
    </font>
    <font>
      <b/>
      <vertAlign val="superscript"/>
      <sz val="10"/>
      <color theme="1"/>
      <name val="Arial"/>
      <family val="2"/>
    </font>
    <font>
      <sz val="9"/>
      <name val="Arial"/>
      <family val="2"/>
    </font>
    <font>
      <b/>
      <sz val="8"/>
      <name val="Arial"/>
      <family val="2"/>
    </font>
    <font>
      <sz val="8"/>
      <color indexed="8"/>
      <name val="Arial"/>
      <family val="2"/>
    </font>
    <font>
      <b/>
      <sz val="8"/>
      <color rgb="FFFF0000"/>
      <name val="Arial"/>
      <family val="2"/>
    </font>
    <font>
      <b/>
      <sz val="10"/>
      <color theme="0" tint="-0.249977111117893"/>
      <name val="Arial"/>
      <family val="2"/>
    </font>
    <font>
      <vertAlign val="superscript"/>
      <sz val="10"/>
      <color theme="0" tint="-0.249977111117893"/>
      <name val="Arial"/>
      <family val="2"/>
    </font>
    <font>
      <vertAlign val="subscript"/>
      <sz val="10"/>
      <color theme="0" tint="-0.249977111117893"/>
      <name val="Arial"/>
      <family val="2"/>
    </font>
    <font>
      <b/>
      <vertAlign val="subscript"/>
      <sz val="10"/>
      <color theme="0" tint="-0.249977111117893"/>
      <name val="Arial"/>
      <family val="2"/>
    </font>
    <font>
      <b/>
      <sz val="12"/>
      <color theme="0"/>
      <name val="Arial"/>
      <family val="2"/>
    </font>
    <font>
      <b/>
      <vertAlign val="subscript"/>
      <sz val="12"/>
      <color theme="0"/>
      <name val="Arial"/>
      <family val="2"/>
    </font>
    <font>
      <b/>
      <sz val="18"/>
      <name val="Arial"/>
      <family val="2"/>
    </font>
    <font>
      <b/>
      <sz val="12"/>
      <color theme="1"/>
      <name val="Arial"/>
      <family val="2"/>
    </font>
    <font>
      <b/>
      <vertAlign val="superscript"/>
      <sz val="8"/>
      <name val="Arial"/>
      <family val="2"/>
    </font>
    <font>
      <u/>
      <sz val="11"/>
      <color indexed="12"/>
      <name val="Arial"/>
      <family val="2"/>
    </font>
    <font>
      <b/>
      <u/>
      <sz val="12"/>
      <name val="Arial"/>
      <family val="2"/>
    </font>
    <font>
      <b/>
      <sz val="11"/>
      <color theme="0"/>
      <name val="Arial"/>
      <family val="2"/>
    </font>
    <font>
      <b/>
      <vertAlign val="subscript"/>
      <sz val="10"/>
      <color theme="0"/>
      <name val="Arial"/>
      <family val="2"/>
    </font>
    <font>
      <b/>
      <u/>
      <vertAlign val="subscript"/>
      <sz val="11"/>
      <color indexed="81"/>
      <name val="Arial"/>
      <family val="2"/>
    </font>
    <font>
      <b/>
      <vertAlign val="subscript"/>
      <sz val="11"/>
      <color theme="0"/>
      <name val="Arial"/>
      <family val="2"/>
    </font>
    <font>
      <sz val="10"/>
      <name val="Arial"/>
      <family val="1"/>
      <charset val="2"/>
    </font>
    <font>
      <vertAlign val="subscript"/>
      <sz val="10"/>
      <name val="Arial"/>
      <family val="1"/>
      <charset val="2"/>
    </font>
    <font>
      <vertAlign val="subscript"/>
      <sz val="10"/>
      <color theme="0"/>
      <name val="Arial"/>
      <family val="2"/>
    </font>
    <font>
      <sz val="11"/>
      <color theme="0"/>
      <name val="Calibri"/>
      <family val="2"/>
    </font>
    <font>
      <sz val="11"/>
      <color theme="0"/>
      <name val="Arial"/>
      <family val="2"/>
    </font>
    <font>
      <u/>
      <sz val="10"/>
      <color theme="0"/>
      <name val="Arial"/>
      <family val="2"/>
    </font>
    <font>
      <u/>
      <vertAlign val="subscript"/>
      <sz val="10"/>
      <color theme="0"/>
      <name val="Arial"/>
      <family val="2"/>
    </font>
    <font>
      <b/>
      <vertAlign val="superscript"/>
      <sz val="11"/>
      <color indexed="81"/>
      <name val="Arial"/>
      <family val="2"/>
    </font>
    <font>
      <sz val="10"/>
      <color rgb="FF0070C0"/>
      <name val="Arial"/>
      <family val="2"/>
    </font>
    <font>
      <b/>
      <u/>
      <sz val="12"/>
      <color rgb="FFC00000"/>
      <name val="Arial"/>
      <family val="2"/>
    </font>
    <font>
      <sz val="10"/>
      <color theme="1"/>
      <name val="Calibri"/>
      <family val="2"/>
    </font>
    <font>
      <sz val="10"/>
      <name val="Calibri"/>
      <family val="2"/>
    </font>
    <font>
      <b/>
      <sz val="10"/>
      <color rgb="FF1F497D"/>
      <name val="Arial"/>
      <family val="2"/>
    </font>
    <font>
      <u/>
      <sz val="10"/>
      <color rgb="FF0563C1"/>
      <name val="Arial"/>
      <family val="2"/>
    </font>
  </fonts>
  <fills count="12">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1"/>
        <bgColor indexed="64"/>
      </patternFill>
    </fill>
    <fill>
      <patternFill patternType="solid">
        <fgColor theme="0" tint="-0.499984740745262"/>
        <bgColor indexed="64"/>
      </patternFill>
    </fill>
    <fill>
      <patternFill patternType="solid">
        <fgColor rgb="FFC0C0C0"/>
        <bgColor indexed="64"/>
      </patternFill>
    </fill>
    <fill>
      <patternFill patternType="solid">
        <fgColor rgb="FFFFFFFF"/>
        <bgColor indexed="64"/>
      </patternFill>
    </fill>
    <fill>
      <patternFill patternType="solid">
        <fgColor indexed="22"/>
        <bgColor indexed="64"/>
      </patternFill>
    </fill>
  </fills>
  <borders count="50">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rgb="FF000000"/>
      </right>
      <top style="thin">
        <color auto="1"/>
      </top>
      <bottom style="thin">
        <color auto="1"/>
      </bottom>
      <diagonal/>
    </border>
    <border>
      <left/>
      <right style="thin">
        <color rgb="FF000000"/>
      </right>
      <top/>
      <bottom/>
      <diagonal/>
    </border>
    <border>
      <left/>
      <right style="thin">
        <color rgb="FF000000"/>
      </right>
      <top/>
      <bottom style="thin">
        <color auto="1"/>
      </bottom>
      <diagonal/>
    </border>
    <border>
      <left/>
      <right style="thin">
        <color rgb="FF000000"/>
      </right>
      <top style="thin">
        <color auto="1"/>
      </top>
      <bottom/>
      <diagonal/>
    </border>
    <border>
      <left style="thin">
        <color auto="1"/>
      </left>
      <right/>
      <top/>
      <bottom style="double">
        <color auto="1"/>
      </bottom>
      <diagonal/>
    </border>
    <border>
      <left/>
      <right/>
      <top/>
      <bottom style="double">
        <color auto="1"/>
      </bottom>
      <diagonal/>
    </border>
    <border>
      <left/>
      <right style="thin">
        <color rgb="FF000000"/>
      </right>
      <top/>
      <bottom style="double">
        <color auto="1"/>
      </bottom>
      <diagonal/>
    </border>
    <border>
      <left style="thin">
        <color indexed="64"/>
      </left>
      <right style="thin">
        <color indexed="64"/>
      </right>
      <top/>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s>
  <cellStyleXfs count="19">
    <xf numFmtId="0" fontId="0" fillId="0" borderId="0"/>
    <xf numFmtId="0" fontId="39" fillId="0" borderId="0" applyNumberFormat="0" applyFill="0" applyBorder="0" applyAlignment="0" applyProtection="0">
      <alignment vertical="top"/>
      <protection locked="0"/>
    </xf>
    <xf numFmtId="0" fontId="18" fillId="0" borderId="0"/>
    <xf numFmtId="0" fontId="97" fillId="0" borderId="0" applyNumberFormat="0" applyFill="0" applyBorder="0" applyAlignment="0" applyProtection="0"/>
    <xf numFmtId="0" fontId="14" fillId="0" borderId="0"/>
    <xf numFmtId="0" fontId="97" fillId="0" borderId="0" applyNumberFormat="0" applyFill="0" applyBorder="0" applyAlignment="0" applyProtection="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175" fontId="140" fillId="0" borderId="0"/>
    <xf numFmtId="0" fontId="1" fillId="0" borderId="0"/>
  </cellStyleXfs>
  <cellXfs count="1156">
    <xf numFmtId="0" fontId="0" fillId="0" borderId="0" xfId="0"/>
    <xf numFmtId="0" fontId="0" fillId="0" borderId="0" xfId="0" applyProtection="1"/>
    <xf numFmtId="0" fontId="0" fillId="0" borderId="0" xfId="0" applyFill="1" applyProtection="1"/>
    <xf numFmtId="0" fontId="0" fillId="0" borderId="0" xfId="0" applyFill="1" applyBorder="1" applyAlignment="1" applyProtection="1">
      <alignment horizontal="center"/>
    </xf>
    <xf numFmtId="0" fontId="22" fillId="0" borderId="0" xfId="0" applyFont="1" applyFill="1" applyBorder="1" applyProtection="1"/>
    <xf numFmtId="0" fontId="0" fillId="0" borderId="5" xfId="0" applyBorder="1" applyProtection="1"/>
    <xf numFmtId="14" fontId="0" fillId="0" borderId="0" xfId="0" applyNumberFormat="1" applyBorder="1" applyAlignment="1" applyProtection="1">
      <alignment horizontal="left"/>
    </xf>
    <xf numFmtId="0" fontId="0" fillId="0" borderId="8" xfId="0" applyFill="1" applyBorder="1" applyProtection="1"/>
    <xf numFmtId="0" fontId="0" fillId="0" borderId="9" xfId="0" applyFill="1" applyBorder="1" applyProtection="1"/>
    <xf numFmtId="166" fontId="0" fillId="0" borderId="0" xfId="0" applyNumberFormat="1" applyBorder="1" applyAlignment="1" applyProtection="1">
      <alignment horizontal="center"/>
    </xf>
    <xf numFmtId="1" fontId="0" fillId="0" borderId="0" xfId="0" applyNumberFormat="1" applyBorder="1" applyAlignment="1" applyProtection="1">
      <alignment horizontal="center"/>
    </xf>
    <xf numFmtId="0" fontId="23" fillId="0" borderId="0" xfId="0" applyFont="1" applyBorder="1" applyAlignment="1" applyProtection="1">
      <alignment horizontal="center"/>
    </xf>
    <xf numFmtId="0" fontId="33" fillId="0" borderId="0" xfId="0" applyFont="1" applyBorder="1" applyProtection="1"/>
    <xf numFmtId="166" fontId="33" fillId="0" borderId="0" xfId="0" applyNumberFormat="1" applyFont="1" applyBorder="1" applyAlignment="1" applyProtection="1">
      <alignment horizontal="center"/>
    </xf>
    <xf numFmtId="0" fontId="35" fillId="0" borderId="0" xfId="0" applyFont="1" applyBorder="1" applyAlignment="1" applyProtection="1"/>
    <xf numFmtId="0" fontId="23" fillId="0" borderId="0" xfId="0" applyFont="1" applyBorder="1" applyProtection="1"/>
    <xf numFmtId="2" fontId="23" fillId="0" borderId="0" xfId="0" applyNumberFormat="1" applyFont="1" applyBorder="1" applyAlignment="1" applyProtection="1">
      <alignment horizontal="center"/>
    </xf>
    <xf numFmtId="0" fontId="22" fillId="0" borderId="0" xfId="0" applyFont="1" applyBorder="1" applyProtection="1"/>
    <xf numFmtId="166" fontId="22" fillId="0" borderId="0" xfId="0" applyNumberFormat="1" applyFont="1" applyBorder="1" applyAlignment="1" applyProtection="1">
      <alignment horizontal="center"/>
    </xf>
    <xf numFmtId="0" fontId="22" fillId="0" borderId="0" xfId="0" applyFont="1" applyBorder="1" applyAlignment="1" applyProtection="1">
      <alignment horizontal="center"/>
    </xf>
    <xf numFmtId="1" fontId="22" fillId="0" borderId="0" xfId="0" applyNumberFormat="1" applyFont="1" applyBorder="1" applyAlignment="1" applyProtection="1">
      <alignment horizontal="center"/>
    </xf>
    <xf numFmtId="2" fontId="22" fillId="0" borderId="0" xfId="0" applyNumberFormat="1" applyFont="1" applyBorder="1" applyAlignment="1" applyProtection="1">
      <alignment horizontal="center"/>
    </xf>
    <xf numFmtId="0" fontId="0" fillId="0" borderId="6" xfId="0" applyFill="1" applyBorder="1" applyProtection="1"/>
    <xf numFmtId="0" fontId="36" fillId="0" borderId="0" xfId="0" applyFont="1" applyBorder="1" applyProtection="1"/>
    <xf numFmtId="0" fontId="26" fillId="0" borderId="0" xfId="0" applyFont="1" applyBorder="1" applyAlignment="1" applyProtection="1">
      <alignment horizontal="left"/>
    </xf>
    <xf numFmtId="0" fontId="37" fillId="0" borderId="0" xfId="0" applyFont="1" applyBorder="1" applyProtection="1"/>
    <xf numFmtId="2" fontId="26" fillId="0" borderId="0" xfId="0" applyNumberFormat="1" applyFont="1" applyBorder="1" applyAlignment="1" applyProtection="1">
      <alignment horizontal="center"/>
    </xf>
    <xf numFmtId="0" fontId="26" fillId="0" borderId="0" xfId="0" applyFont="1" applyBorder="1" applyProtection="1"/>
    <xf numFmtId="0" fontId="0" fillId="0" borderId="10" xfId="0" applyFill="1" applyBorder="1" applyProtection="1"/>
    <xf numFmtId="0" fontId="34" fillId="0" borderId="0" xfId="0" applyFont="1" applyFill="1" applyBorder="1" applyAlignment="1" applyProtection="1"/>
    <xf numFmtId="0" fontId="0" fillId="0" borderId="8" xfId="0" applyBorder="1" applyProtection="1"/>
    <xf numFmtId="0" fontId="0" fillId="0" borderId="9" xfId="0" applyBorder="1" applyProtection="1"/>
    <xf numFmtId="0" fontId="0" fillId="0" borderId="10" xfId="0" applyBorder="1" applyProtection="1"/>
    <xf numFmtId="0" fontId="34" fillId="0" borderId="8" xfId="0" applyFont="1" applyFill="1" applyBorder="1" applyAlignment="1" applyProtection="1"/>
    <xf numFmtId="0" fontId="34" fillId="0" borderId="9" xfId="0" applyFont="1" applyFill="1" applyBorder="1" applyAlignment="1" applyProtection="1"/>
    <xf numFmtId="0" fontId="0" fillId="0" borderId="5" xfId="0" applyFill="1" applyBorder="1" applyProtection="1"/>
    <xf numFmtId="0" fontId="0" fillId="0" borderId="0" xfId="0" applyProtection="1">
      <protection hidden="1"/>
    </xf>
    <xf numFmtId="0" fontId="23" fillId="2" borderId="0" xfId="0" applyFont="1" applyFill="1" applyBorder="1"/>
    <xf numFmtId="0" fontId="23" fillId="2" borderId="0" xfId="0" applyFont="1" applyFill="1" applyBorder="1" applyAlignment="1">
      <alignment horizontal="center"/>
    </xf>
    <xf numFmtId="1" fontId="23" fillId="2" borderId="0" xfId="0" applyNumberFormat="1" applyFont="1" applyFill="1" applyBorder="1"/>
    <xf numFmtId="1" fontId="23" fillId="2" borderId="0" xfId="0" applyNumberFormat="1" applyFont="1" applyFill="1" applyBorder="1" applyAlignment="1">
      <alignment horizontal="center"/>
    </xf>
    <xf numFmtId="0" fontId="26" fillId="2" borderId="0" xfId="0" applyFont="1" applyFill="1" applyBorder="1"/>
    <xf numFmtId="0" fontId="45" fillId="2" borderId="0" xfId="0" applyFont="1" applyFill="1" applyBorder="1" applyAlignment="1">
      <alignment horizontal="left"/>
    </xf>
    <xf numFmtId="0" fontId="46" fillId="2" borderId="0" xfId="0" applyFont="1" applyFill="1" applyBorder="1"/>
    <xf numFmtId="0" fontId="38" fillId="2" borderId="0" xfId="0" applyFont="1" applyFill="1" applyBorder="1"/>
    <xf numFmtId="0" fontId="43" fillId="2" borderId="0" xfId="0" applyFont="1" applyFill="1" applyBorder="1"/>
    <xf numFmtId="2" fontId="43" fillId="2" borderId="0" xfId="0" applyNumberFormat="1" applyFont="1" applyFill="1" applyBorder="1" applyAlignment="1">
      <alignment horizontal="center"/>
    </xf>
    <xf numFmtId="2" fontId="38" fillId="2" borderId="0" xfId="0" applyNumberFormat="1" applyFont="1" applyFill="1" applyBorder="1" applyAlignment="1">
      <alignment horizontal="center"/>
    </xf>
    <xf numFmtId="1" fontId="43" fillId="2" borderId="0" xfId="0" applyNumberFormat="1" applyFont="1" applyFill="1" applyBorder="1"/>
    <xf numFmtId="0" fontId="43" fillId="2" borderId="0" xfId="0" applyFont="1" applyFill="1" applyBorder="1" applyAlignment="1">
      <alignment horizontal="center"/>
    </xf>
    <xf numFmtId="2" fontId="23" fillId="2" borderId="0" xfId="0" applyNumberFormat="1" applyFont="1" applyFill="1" applyBorder="1"/>
    <xf numFmtId="0" fontId="23" fillId="2" borderId="0" xfId="0" applyFont="1" applyFill="1" applyBorder="1" applyAlignment="1">
      <alignment vertical="top" wrapText="1"/>
    </xf>
    <xf numFmtId="0" fontId="49" fillId="0" borderId="0" xfId="0" applyFont="1" applyFill="1" applyBorder="1"/>
    <xf numFmtId="0" fontId="22" fillId="2" borderId="0" xfId="0" applyFont="1" applyFill="1" applyBorder="1"/>
    <xf numFmtId="0" fontId="46" fillId="2" borderId="0" xfId="0" applyFont="1" applyFill="1" applyBorder="1" applyAlignment="1">
      <alignment horizontal="center"/>
    </xf>
    <xf numFmtId="0" fontId="38" fillId="2" borderId="0" xfId="0" applyFont="1" applyFill="1" applyBorder="1" applyAlignment="1">
      <alignment horizontal="center"/>
    </xf>
    <xf numFmtId="165" fontId="38" fillId="2" borderId="0" xfId="0" applyNumberFormat="1" applyFont="1" applyFill="1" applyBorder="1" applyAlignment="1">
      <alignment horizontal="center"/>
    </xf>
    <xf numFmtId="0" fontId="41" fillId="2" borderId="0" xfId="0" applyFont="1" applyFill="1" applyBorder="1"/>
    <xf numFmtId="0" fontId="41" fillId="2" borderId="0" xfId="0" applyFont="1" applyFill="1" applyBorder="1" applyAlignment="1">
      <alignment horizontal="center"/>
    </xf>
    <xf numFmtId="0" fontId="53" fillId="2" borderId="0" xfId="0" applyFont="1" applyFill="1" applyBorder="1"/>
    <xf numFmtId="0" fontId="0" fillId="0" borderId="0" xfId="0" applyBorder="1" applyAlignment="1" applyProtection="1">
      <alignment vertical="center"/>
    </xf>
    <xf numFmtId="165" fontId="41" fillId="2" borderId="0" xfId="0" applyNumberFormat="1" applyFont="1" applyFill="1" applyBorder="1" applyAlignment="1">
      <alignment horizontal="center"/>
    </xf>
    <xf numFmtId="165" fontId="43" fillId="2" borderId="0" xfId="0" applyNumberFormat="1" applyFont="1" applyFill="1" applyBorder="1" applyAlignment="1">
      <alignment horizontal="center"/>
    </xf>
    <xf numFmtId="0" fontId="22" fillId="2" borderId="0" xfId="0" applyFont="1" applyFill="1" applyBorder="1" applyAlignment="1">
      <alignment horizontal="center"/>
    </xf>
    <xf numFmtId="165" fontId="40" fillId="2" borderId="0" xfId="0" applyNumberFormat="1" applyFont="1" applyFill="1" applyBorder="1" applyAlignment="1">
      <alignment horizontal="center"/>
    </xf>
    <xf numFmtId="0" fontId="0" fillId="0" borderId="0" xfId="0" applyProtection="1">
      <protection locked="0"/>
    </xf>
    <xf numFmtId="0" fontId="31" fillId="2" borderId="0" xfId="0" applyFont="1" applyFill="1" applyProtection="1">
      <protection locked="0"/>
    </xf>
    <xf numFmtId="0" fontId="31" fillId="2" borderId="0" xfId="0" applyFont="1" applyFill="1" applyAlignment="1" applyProtection="1">
      <alignment horizontal="center"/>
      <protection locked="0"/>
    </xf>
    <xf numFmtId="0" fontId="31" fillId="0" borderId="0" xfId="0" applyFont="1" applyProtection="1">
      <protection locked="0"/>
    </xf>
    <xf numFmtId="0" fontId="22" fillId="2" borderId="0" xfId="0" applyFont="1" applyFill="1" applyBorder="1" applyAlignment="1" applyProtection="1">
      <alignment vertical="center"/>
    </xf>
    <xf numFmtId="0" fontId="0" fillId="0" borderId="0" xfId="0" applyFill="1" applyAlignment="1" applyProtection="1">
      <alignment vertical="center"/>
      <protection locked="0"/>
    </xf>
    <xf numFmtId="1" fontId="26" fillId="0" borderId="0" xfId="0" applyNumberFormat="1" applyFont="1" applyBorder="1" applyAlignment="1" applyProtection="1">
      <alignment horizontal="center"/>
    </xf>
    <xf numFmtId="0" fontId="21" fillId="2" borderId="0" xfId="0" applyFont="1" applyFill="1" applyBorder="1"/>
    <xf numFmtId="1" fontId="21" fillId="2" borderId="0" xfId="0" applyNumberFormat="1" applyFont="1" applyFill="1" applyBorder="1"/>
    <xf numFmtId="1" fontId="21" fillId="2" borderId="0" xfId="0" applyNumberFormat="1" applyFont="1" applyFill="1" applyBorder="1" applyAlignment="1">
      <alignment horizontal="center"/>
    </xf>
    <xf numFmtId="0" fontId="54" fillId="2" borderId="0" xfId="0" applyFont="1" applyFill="1" applyBorder="1"/>
    <xf numFmtId="0" fontId="22" fillId="0" borderId="0" xfId="0" applyFont="1"/>
    <xf numFmtId="0" fontId="26" fillId="0" borderId="0" xfId="0" applyFont="1"/>
    <xf numFmtId="0" fontId="60" fillId="0" borderId="0" xfId="0" applyFont="1"/>
    <xf numFmtId="0" fontId="30" fillId="0" borderId="0" xfId="0" applyFont="1"/>
    <xf numFmtId="0" fontId="0" fillId="0" borderId="0" xfId="0" applyAlignment="1">
      <alignment horizontal="left" vertical="center" indent="15"/>
    </xf>
    <xf numFmtId="166" fontId="26" fillId="0" borderId="0" xfId="0" applyNumberFormat="1" applyFont="1"/>
    <xf numFmtId="2" fontId="21" fillId="2" borderId="0" xfId="0" applyNumberFormat="1" applyFont="1" applyFill="1" applyBorder="1" applyAlignment="1">
      <alignment horizontal="center"/>
    </xf>
    <xf numFmtId="0" fontId="21" fillId="2" borderId="0" xfId="0" applyFont="1" applyFill="1" applyBorder="1" applyAlignment="1">
      <alignment horizontal="center"/>
    </xf>
    <xf numFmtId="0" fontId="66" fillId="2" borderId="0" xfId="0" applyFont="1" applyFill="1" applyBorder="1"/>
    <xf numFmtId="0" fontId="67" fillId="2" borderId="0" xfId="0" applyFont="1" applyFill="1" applyBorder="1"/>
    <xf numFmtId="1" fontId="67" fillId="2" borderId="0" xfId="0" applyNumberFormat="1" applyFont="1" applyFill="1" applyBorder="1" applyAlignment="1">
      <alignment horizontal="center"/>
    </xf>
    <xf numFmtId="0" fontId="21" fillId="2" borderId="10" xfId="0" applyFont="1" applyFill="1" applyBorder="1"/>
    <xf numFmtId="0" fontId="21" fillId="4" borderId="0" xfId="0" applyFont="1" applyFill="1" applyBorder="1"/>
    <xf numFmtId="0" fontId="21" fillId="4" borderId="0" xfId="0" applyFont="1" applyFill="1" applyBorder="1" applyAlignment="1">
      <alignment horizontal="center"/>
    </xf>
    <xf numFmtId="0" fontId="21" fillId="4" borderId="0" xfId="0" applyFont="1" applyFill="1" applyBorder="1" applyAlignment="1"/>
    <xf numFmtId="0" fontId="66" fillId="2" borderId="10" xfId="0" applyFont="1" applyFill="1" applyBorder="1"/>
    <xf numFmtId="2" fontId="66" fillId="2" borderId="10" xfId="0" applyNumberFormat="1" applyFont="1" applyFill="1" applyBorder="1" applyAlignment="1">
      <alignment horizontal="center"/>
    </xf>
    <xf numFmtId="0" fontId="64" fillId="2" borderId="0" xfId="0" applyFont="1" applyFill="1" applyBorder="1"/>
    <xf numFmtId="0" fontId="23" fillId="0" borderId="0" xfId="0" applyFont="1" applyFill="1" applyBorder="1"/>
    <xf numFmtId="0" fontId="21" fillId="0" borderId="0" xfId="0" applyFont="1" applyFill="1" applyBorder="1"/>
    <xf numFmtId="0" fontId="44" fillId="2" borderId="11" xfId="0" applyFont="1" applyFill="1" applyBorder="1"/>
    <xf numFmtId="0" fontId="23" fillId="2" borderId="16" xfId="0" applyFont="1" applyFill="1" applyBorder="1"/>
    <xf numFmtId="0" fontId="47" fillId="2" borderId="16" xfId="0" applyFont="1" applyFill="1" applyBorder="1"/>
    <xf numFmtId="0" fontId="47" fillId="2" borderId="3" xfId="0" applyFont="1" applyFill="1" applyBorder="1"/>
    <xf numFmtId="0" fontId="21" fillId="2" borderId="8" xfId="0" applyFont="1" applyFill="1" applyBorder="1"/>
    <xf numFmtId="0" fontId="21" fillId="2" borderId="9" xfId="0" applyFont="1" applyFill="1" applyBorder="1"/>
    <xf numFmtId="1" fontId="21" fillId="2" borderId="9" xfId="0" applyNumberFormat="1" applyFont="1" applyFill="1" applyBorder="1"/>
    <xf numFmtId="0" fontId="54" fillId="2" borderId="8" xfId="0" applyFont="1" applyFill="1" applyBorder="1"/>
    <xf numFmtId="0" fontId="54" fillId="2" borderId="5" xfId="0" applyFont="1" applyFill="1" applyBorder="1"/>
    <xf numFmtId="0" fontId="54" fillId="2" borderId="6" xfId="0" applyFont="1" applyFill="1" applyBorder="1"/>
    <xf numFmtId="0" fontId="21" fillId="4" borderId="8" xfId="0" applyFont="1" applyFill="1" applyBorder="1"/>
    <xf numFmtId="0" fontId="21" fillId="4" borderId="9" xfId="0" applyFont="1" applyFill="1" applyBorder="1"/>
    <xf numFmtId="0" fontId="21" fillId="2" borderId="6" xfId="0" applyFont="1" applyFill="1" applyBorder="1"/>
    <xf numFmtId="0" fontId="23" fillId="2" borderId="8" xfId="0" applyFont="1" applyFill="1" applyBorder="1"/>
    <xf numFmtId="0" fontId="26" fillId="2" borderId="5" xfId="0" applyFont="1" applyFill="1" applyBorder="1"/>
    <xf numFmtId="0" fontId="23" fillId="4" borderId="9" xfId="0" applyFont="1" applyFill="1" applyBorder="1"/>
    <xf numFmtId="0" fontId="26" fillId="4" borderId="9" xfId="0" applyFont="1" applyFill="1" applyBorder="1"/>
    <xf numFmtId="0" fontId="54" fillId="2" borderId="9" xfId="0" applyFont="1" applyFill="1" applyBorder="1"/>
    <xf numFmtId="0" fontId="66" fillId="2" borderId="8" xfId="0" applyFont="1" applyFill="1" applyBorder="1"/>
    <xf numFmtId="0" fontId="67" fillId="2" borderId="9" xfId="0" applyFont="1" applyFill="1" applyBorder="1"/>
    <xf numFmtId="0" fontId="67" fillId="2" borderId="8" xfId="0" applyFont="1" applyFill="1" applyBorder="1"/>
    <xf numFmtId="0" fontId="66" fillId="2" borderId="5" xfId="0" applyFont="1" applyFill="1" applyBorder="1"/>
    <xf numFmtId="0" fontId="66" fillId="2" borderId="6" xfId="0" applyFont="1" applyFill="1" applyBorder="1"/>
    <xf numFmtId="0" fontId="21" fillId="2" borderId="5" xfId="0" applyFont="1" applyFill="1" applyBorder="1"/>
    <xf numFmtId="0" fontId="22" fillId="2" borderId="10" xfId="0" applyFont="1" applyFill="1" applyBorder="1"/>
    <xf numFmtId="0" fontId="23" fillId="2" borderId="3" xfId="0" applyFont="1" applyFill="1" applyBorder="1"/>
    <xf numFmtId="0" fontId="23" fillId="2" borderId="9" xfId="0" applyFont="1" applyFill="1" applyBorder="1"/>
    <xf numFmtId="1" fontId="23" fillId="2" borderId="9" xfId="0" applyNumberFormat="1" applyFont="1" applyFill="1" applyBorder="1"/>
    <xf numFmtId="0" fontId="22" fillId="2" borderId="8" xfId="0" applyFont="1" applyFill="1" applyBorder="1"/>
    <xf numFmtId="0" fontId="22" fillId="2" borderId="9" xfId="0" applyFont="1" applyFill="1" applyBorder="1"/>
    <xf numFmtId="0" fontId="26" fillId="2" borderId="8" xfId="0" applyFont="1" applyFill="1" applyBorder="1"/>
    <xf numFmtId="0" fontId="26" fillId="2" borderId="6" xfId="0" applyFont="1" applyFill="1" applyBorder="1"/>
    <xf numFmtId="0" fontId="22" fillId="2" borderId="6" xfId="0" applyFont="1" applyFill="1" applyBorder="1"/>
    <xf numFmtId="0" fontId="26" fillId="2" borderId="9" xfId="0" applyFont="1" applyFill="1" applyBorder="1"/>
    <xf numFmtId="0" fontId="66" fillId="2" borderId="9" xfId="0" applyFont="1" applyFill="1" applyBorder="1"/>
    <xf numFmtId="0" fontId="22" fillId="2" borderId="5" xfId="0" applyFont="1" applyFill="1" applyBorder="1"/>
    <xf numFmtId="0" fontId="26" fillId="5" borderId="8" xfId="0" applyFont="1" applyFill="1" applyBorder="1"/>
    <xf numFmtId="0" fontId="22" fillId="5" borderId="0" xfId="0" applyFont="1" applyFill="1" applyBorder="1"/>
    <xf numFmtId="0" fontId="26" fillId="5" borderId="0" xfId="0" applyFont="1" applyFill="1" applyBorder="1"/>
    <xf numFmtId="0" fontId="22" fillId="5" borderId="9" xfId="0" applyFont="1" applyFill="1" applyBorder="1"/>
    <xf numFmtId="0" fontId="40" fillId="5" borderId="8" xfId="0" applyFont="1" applyFill="1" applyBorder="1"/>
    <xf numFmtId="0" fontId="40" fillId="5" borderId="0" xfId="0" applyFont="1" applyFill="1" applyBorder="1"/>
    <xf numFmtId="0" fontId="40" fillId="5" borderId="9" xfId="0" applyFont="1" applyFill="1" applyBorder="1"/>
    <xf numFmtId="1" fontId="40" fillId="5" borderId="0" xfId="0" applyNumberFormat="1" applyFont="1" applyFill="1" applyBorder="1" applyAlignment="1">
      <alignment horizontal="center"/>
    </xf>
    <xf numFmtId="166" fontId="40" fillId="5" borderId="0" xfId="0" applyNumberFormat="1" applyFont="1" applyFill="1" applyBorder="1" applyAlignment="1">
      <alignment horizontal="center"/>
    </xf>
    <xf numFmtId="0" fontId="48" fillId="5" borderId="8" xfId="0" applyFont="1" applyFill="1" applyBorder="1"/>
    <xf numFmtId="2" fontId="48" fillId="5" borderId="0" xfId="0" applyNumberFormat="1" applyFont="1" applyFill="1" applyBorder="1" applyAlignment="1">
      <alignment horizontal="center"/>
    </xf>
    <xf numFmtId="0" fontId="48" fillId="5" borderId="0" xfId="0" applyFont="1" applyFill="1" applyBorder="1"/>
    <xf numFmtId="0" fontId="48" fillId="5" borderId="9" xfId="0" applyFont="1" applyFill="1" applyBorder="1"/>
    <xf numFmtId="0" fontId="65" fillId="2" borderId="0" xfId="0" applyFont="1" applyFill="1" applyBorder="1"/>
    <xf numFmtId="0" fontId="20" fillId="2" borderId="0" xfId="0" applyFont="1" applyFill="1" applyBorder="1"/>
    <xf numFmtId="0" fontId="22" fillId="5" borderId="8" xfId="0" applyFont="1" applyFill="1" applyBorder="1"/>
    <xf numFmtId="0" fontId="20" fillId="2" borderId="8" xfId="0" applyFont="1" applyFill="1" applyBorder="1" applyAlignment="1">
      <alignment vertical="top" wrapText="1"/>
    </xf>
    <xf numFmtId="0" fontId="20" fillId="2" borderId="9" xfId="0" applyFont="1" applyFill="1" applyBorder="1" applyAlignment="1">
      <alignment vertical="top" wrapText="1"/>
    </xf>
    <xf numFmtId="0" fontId="20" fillId="2" borderId="8" xfId="0" applyFont="1" applyFill="1" applyBorder="1"/>
    <xf numFmtId="1" fontId="20" fillId="2" borderId="0" xfId="0" applyNumberFormat="1" applyFont="1" applyFill="1" applyBorder="1" applyAlignment="1">
      <alignment horizontal="center"/>
    </xf>
    <xf numFmtId="0" fontId="20" fillId="2" borderId="0" xfId="0" applyFont="1" applyFill="1" applyBorder="1" applyAlignment="1">
      <alignment horizontal="center"/>
    </xf>
    <xf numFmtId="0" fontId="20" fillId="2" borderId="9" xfId="0" applyFont="1" applyFill="1" applyBorder="1"/>
    <xf numFmtId="0" fontId="73" fillId="2" borderId="8" xfId="0" applyFont="1" applyFill="1" applyBorder="1"/>
    <xf numFmtId="0" fontId="73" fillId="2" borderId="0" xfId="0" applyFont="1" applyFill="1" applyBorder="1"/>
    <xf numFmtId="0" fontId="73" fillId="2" borderId="5" xfId="0" applyFont="1" applyFill="1" applyBorder="1"/>
    <xf numFmtId="2" fontId="73" fillId="2" borderId="10" xfId="0" applyNumberFormat="1" applyFont="1" applyFill="1" applyBorder="1" applyAlignment="1">
      <alignment horizontal="center"/>
    </xf>
    <xf numFmtId="0" fontId="73" fillId="2" borderId="10" xfId="0" applyFont="1" applyFill="1" applyBorder="1"/>
    <xf numFmtId="0" fontId="73" fillId="2" borderId="6" xfId="0" applyFont="1" applyFill="1" applyBorder="1"/>
    <xf numFmtId="2" fontId="20" fillId="2" borderId="0" xfId="0" applyNumberFormat="1" applyFont="1" applyFill="1" applyBorder="1" applyAlignment="1">
      <alignment horizontal="center"/>
    </xf>
    <xf numFmtId="0" fontId="20" fillId="2" borderId="6" xfId="0" applyFont="1" applyFill="1" applyBorder="1"/>
    <xf numFmtId="2" fontId="73" fillId="2" borderId="0" xfId="0" applyNumberFormat="1" applyFont="1" applyFill="1" applyBorder="1" applyAlignment="1">
      <alignment horizontal="center"/>
    </xf>
    <xf numFmtId="0" fontId="73" fillId="2" borderId="9" xfId="0" applyFont="1" applyFill="1" applyBorder="1"/>
    <xf numFmtId="166" fontId="0" fillId="0" borderId="0" xfId="0" applyNumberFormat="1" applyBorder="1" applyAlignment="1" applyProtection="1">
      <alignment horizontal="center" vertical="center"/>
    </xf>
    <xf numFmtId="0" fontId="22" fillId="0" borderId="0" xfId="0" applyFont="1" applyBorder="1" applyAlignment="1" applyProtection="1">
      <alignment wrapText="1"/>
    </xf>
    <xf numFmtId="0" fontId="83" fillId="0" borderId="0" xfId="0" applyFont="1"/>
    <xf numFmtId="0" fontId="84" fillId="0" borderId="0" xfId="1" applyFont="1" applyAlignment="1" applyProtection="1"/>
    <xf numFmtId="0" fontId="0" fillId="0" borderId="0" xfId="0" applyBorder="1"/>
    <xf numFmtId="0" fontId="65" fillId="0" borderId="0" xfId="0" applyFont="1" applyBorder="1" applyAlignment="1">
      <alignment horizontal="center" vertical="center"/>
    </xf>
    <xf numFmtId="168" fontId="65" fillId="0" borderId="0" xfId="0" applyNumberFormat="1" applyFont="1" applyBorder="1" applyAlignment="1">
      <alignment horizontal="center" vertical="center"/>
    </xf>
    <xf numFmtId="169" fontId="65" fillId="0" borderId="0" xfId="0" applyNumberFormat="1" applyFont="1" applyBorder="1" applyAlignment="1">
      <alignment horizontal="center" vertical="center"/>
    </xf>
    <xf numFmtId="0" fontId="26" fillId="3" borderId="8" xfId="0" applyFont="1" applyFill="1" applyBorder="1"/>
    <xf numFmtId="0" fontId="21" fillId="3" borderId="0" xfId="0" applyFont="1" applyFill="1" applyBorder="1"/>
    <xf numFmtId="0" fontId="54" fillId="3" borderId="0" xfId="0" applyFont="1" applyFill="1" applyBorder="1"/>
    <xf numFmtId="0" fontId="23" fillId="3" borderId="8" xfId="0" applyFont="1" applyFill="1" applyBorder="1"/>
    <xf numFmtId="0" fontId="47" fillId="3" borderId="0" xfId="0" applyFont="1" applyFill="1" applyBorder="1" applyAlignment="1">
      <alignment horizontal="center"/>
    </xf>
    <xf numFmtId="0" fontId="23" fillId="3" borderId="0" xfId="0" applyFont="1" applyFill="1" applyBorder="1" applyAlignment="1">
      <alignment horizontal="center"/>
    </xf>
    <xf numFmtId="0" fontId="23" fillId="3" borderId="0" xfId="0" applyFont="1" applyFill="1" applyBorder="1"/>
    <xf numFmtId="1" fontId="47" fillId="3" borderId="0" xfId="0" applyNumberFormat="1" applyFont="1" applyFill="1" applyBorder="1" applyAlignment="1">
      <alignment horizontal="center"/>
    </xf>
    <xf numFmtId="1" fontId="23" fillId="3" borderId="0" xfId="0" applyNumberFormat="1" applyFont="1" applyFill="1" applyBorder="1" applyAlignment="1">
      <alignment horizontal="center"/>
    </xf>
    <xf numFmtId="166" fontId="23" fillId="3" borderId="0" xfId="0" applyNumberFormat="1" applyFont="1" applyFill="1" applyBorder="1" applyAlignment="1">
      <alignment horizontal="center"/>
    </xf>
    <xf numFmtId="2" fontId="47" fillId="3" borderId="0" xfId="0" applyNumberFormat="1" applyFont="1" applyFill="1" applyBorder="1" applyAlignment="1">
      <alignment horizontal="center"/>
    </xf>
    <xf numFmtId="2" fontId="23" fillId="3" borderId="0" xfId="0" applyNumberFormat="1" applyFont="1" applyFill="1" applyBorder="1" applyAlignment="1">
      <alignment horizontal="center"/>
    </xf>
    <xf numFmtId="2" fontId="26" fillId="3" borderId="0" xfId="0" applyNumberFormat="1" applyFont="1" applyFill="1" applyBorder="1" applyAlignment="1">
      <alignment horizontal="center"/>
    </xf>
    <xf numFmtId="2" fontId="23" fillId="3" borderId="0" xfId="0" applyNumberFormat="1" applyFont="1" applyFill="1" applyBorder="1"/>
    <xf numFmtId="2" fontId="51" fillId="3" borderId="0" xfId="0" applyNumberFormat="1" applyFont="1" applyFill="1" applyBorder="1"/>
    <xf numFmtId="0" fontId="32" fillId="2" borderId="0" xfId="0" applyFont="1" applyFill="1" applyBorder="1" applyAlignment="1">
      <alignment horizontal="center" vertical="top" wrapText="1"/>
    </xf>
    <xf numFmtId="0" fontId="73" fillId="2" borderId="0" xfId="0" applyFont="1" applyFill="1" applyBorder="1" applyAlignment="1">
      <alignment horizontal="center" vertical="top" wrapText="1"/>
    </xf>
    <xf numFmtId="0" fontId="71" fillId="2" borderId="0" xfId="0" applyFont="1" applyFill="1" applyBorder="1"/>
    <xf numFmtId="0" fontId="88" fillId="2" borderId="0" xfId="0" applyFont="1" applyFill="1" applyBorder="1"/>
    <xf numFmtId="0" fontId="89" fillId="2" borderId="0" xfId="0" applyFont="1" applyFill="1" applyBorder="1"/>
    <xf numFmtId="0" fontId="22" fillId="2" borderId="0" xfId="0" applyFont="1" applyFill="1" applyBorder="1" applyAlignment="1">
      <alignment horizontal="center" vertical="top" wrapText="1"/>
    </xf>
    <xf numFmtId="0" fontId="22" fillId="2" borderId="0" xfId="0" applyFont="1" applyFill="1" applyBorder="1" applyAlignment="1">
      <alignment vertical="top" wrapText="1"/>
    </xf>
    <xf numFmtId="0" fontId="22" fillId="2" borderId="11" xfId="0" applyFont="1" applyFill="1" applyBorder="1"/>
    <xf numFmtId="0" fontId="22" fillId="2" borderId="16" xfId="0" applyFont="1" applyFill="1" applyBorder="1"/>
    <xf numFmtId="0" fontId="22" fillId="2" borderId="3" xfId="0" applyFont="1" applyFill="1" applyBorder="1"/>
    <xf numFmtId="0" fontId="22" fillId="2" borderId="9" xfId="0" applyFont="1" applyFill="1" applyBorder="1" applyAlignment="1">
      <alignment vertical="top" wrapText="1"/>
    </xf>
    <xf numFmtId="0" fontId="23" fillId="2" borderId="10" xfId="0" applyFont="1" applyFill="1" applyBorder="1"/>
    <xf numFmtId="0" fontId="23" fillId="2" borderId="6" xfId="0" applyFont="1" applyFill="1" applyBorder="1"/>
    <xf numFmtId="0" fontId="73" fillId="2" borderId="8" xfId="0" applyFont="1" applyFill="1" applyBorder="1" applyAlignment="1">
      <alignment horizontal="left"/>
    </xf>
    <xf numFmtId="0" fontId="73" fillId="2" borderId="0" xfId="0" applyFont="1" applyFill="1" applyBorder="1" applyAlignment="1">
      <alignment horizontal="left"/>
    </xf>
    <xf numFmtId="0" fontId="77" fillId="2" borderId="0" xfId="0" applyFont="1" applyFill="1" applyBorder="1" applyAlignment="1">
      <alignment horizontal="center" vertical="top" wrapText="1"/>
    </xf>
    <xf numFmtId="0" fontId="90" fillId="2" borderId="0" xfId="0" applyFont="1" applyFill="1" applyBorder="1" applyAlignment="1">
      <alignment vertical="top" wrapText="1"/>
    </xf>
    <xf numFmtId="0" fontId="26" fillId="2" borderId="5" xfId="0" applyFont="1" applyFill="1" applyBorder="1" applyAlignment="1">
      <alignment horizontal="left"/>
    </xf>
    <xf numFmtId="0" fontId="73" fillId="2" borderId="10" xfId="0" applyFont="1" applyFill="1" applyBorder="1" applyAlignment="1">
      <alignment horizontal="left"/>
    </xf>
    <xf numFmtId="0" fontId="26" fillId="2" borderId="3" xfId="0" applyFont="1" applyFill="1" applyBorder="1"/>
    <xf numFmtId="0" fontId="63" fillId="0" borderId="0" xfId="0" applyFont="1" applyFill="1" applyBorder="1" applyAlignment="1">
      <alignment horizontal="center" vertical="center"/>
    </xf>
    <xf numFmtId="0" fontId="83" fillId="2" borderId="8" xfId="0" applyFont="1" applyFill="1" applyBorder="1"/>
    <xf numFmtId="0" fontId="83" fillId="2" borderId="0" xfId="0" applyFont="1" applyFill="1" applyBorder="1"/>
    <xf numFmtId="1" fontId="22" fillId="2" borderId="0" xfId="0" applyNumberFormat="1" applyFont="1" applyFill="1" applyBorder="1" applyAlignment="1">
      <alignment horizontal="center"/>
    </xf>
    <xf numFmtId="0" fontId="50" fillId="0" borderId="0" xfId="0" applyFont="1" applyBorder="1" applyAlignment="1" applyProtection="1">
      <alignment horizontal="center"/>
    </xf>
    <xf numFmtId="0" fontId="22" fillId="0" borderId="0" xfId="0" applyFont="1" applyFill="1" applyBorder="1" applyAlignment="1" applyProtection="1">
      <alignment horizontal="left" vertical="center"/>
    </xf>
    <xf numFmtId="0" fontId="26" fillId="4" borderId="2" xfId="0" applyFont="1" applyFill="1" applyBorder="1" applyAlignment="1" applyProtection="1">
      <alignment horizontal="center" vertical="center"/>
      <protection locked="0"/>
    </xf>
    <xf numFmtId="1" fontId="26" fillId="4" borderId="2" xfId="0" applyNumberFormat="1" applyFont="1" applyFill="1" applyBorder="1" applyAlignment="1" applyProtection="1">
      <alignment horizontal="center" vertical="center"/>
      <protection locked="0"/>
    </xf>
    <xf numFmtId="166" fontId="26" fillId="4" borderId="7" xfId="0" applyNumberFormat="1" applyFont="1" applyFill="1" applyBorder="1" applyAlignment="1" applyProtection="1">
      <alignment horizontal="center" vertical="center"/>
      <protection locked="0"/>
    </xf>
    <xf numFmtId="166" fontId="26" fillId="4" borderId="2" xfId="0" applyNumberFormat="1" applyFont="1" applyFill="1" applyBorder="1" applyAlignment="1" applyProtection="1">
      <alignment horizontal="center" vertical="center"/>
      <protection locked="0"/>
    </xf>
    <xf numFmtId="0" fontId="22" fillId="0" borderId="0" xfId="0" applyFont="1" applyBorder="1" applyAlignment="1" applyProtection="1">
      <alignment vertical="center"/>
    </xf>
    <xf numFmtId="0" fontId="0" fillId="0" borderId="0" xfId="0" applyBorder="1" applyAlignment="1" applyProtection="1">
      <alignment horizontal="center" vertical="center"/>
    </xf>
    <xf numFmtId="166" fontId="22" fillId="0" borderId="0" xfId="0" applyNumberFormat="1" applyFont="1" applyBorder="1" applyAlignment="1" applyProtection="1">
      <alignment horizontal="center" vertical="center"/>
    </xf>
    <xf numFmtId="170" fontId="0" fillId="0" borderId="0" xfId="0" applyNumberFormat="1" applyBorder="1" applyAlignment="1" applyProtection="1">
      <alignment horizontal="center" vertical="center"/>
    </xf>
    <xf numFmtId="170" fontId="0" fillId="0" borderId="0" xfId="0" applyNumberFormat="1" applyBorder="1" applyProtection="1"/>
    <xf numFmtId="170" fontId="22" fillId="0" borderId="0" xfId="0" applyNumberFormat="1" applyFont="1" applyBorder="1" applyAlignment="1" applyProtection="1">
      <alignment horizontal="center" vertical="center"/>
    </xf>
    <xf numFmtId="0" fontId="26" fillId="0" borderId="0" xfId="0" applyFont="1" applyFill="1" applyBorder="1" applyAlignment="1" applyProtection="1">
      <alignment horizontal="left" vertical="center"/>
    </xf>
    <xf numFmtId="0" fontId="71" fillId="0" borderId="0" xfId="0" applyFont="1" applyBorder="1" applyProtection="1"/>
    <xf numFmtId="0" fontId="71" fillId="0" borderId="0" xfId="0" applyFont="1" applyBorder="1" applyAlignment="1" applyProtection="1">
      <alignment horizontal="left"/>
    </xf>
    <xf numFmtId="2" fontId="71" fillId="0" borderId="0" xfId="0" applyNumberFormat="1" applyFont="1" applyBorder="1" applyAlignment="1" applyProtection="1">
      <alignment horizontal="center"/>
    </xf>
    <xf numFmtId="0" fontId="71" fillId="0" borderId="0" xfId="0" applyFont="1" applyBorder="1" applyAlignment="1" applyProtection="1">
      <alignment horizontal="center"/>
    </xf>
    <xf numFmtId="0" fontId="71" fillId="0" borderId="0" xfId="0" applyFont="1" applyFill="1" applyBorder="1" applyProtection="1"/>
    <xf numFmtId="166" fontId="71" fillId="0" borderId="0" xfId="0" applyNumberFormat="1" applyFont="1" applyBorder="1" applyAlignment="1" applyProtection="1">
      <alignment horizontal="center"/>
    </xf>
    <xf numFmtId="1" fontId="71" fillId="0" borderId="0" xfId="0" applyNumberFormat="1" applyFont="1" applyBorder="1" applyAlignment="1" applyProtection="1">
      <alignment horizontal="center"/>
    </xf>
    <xf numFmtId="0" fontId="95" fillId="0" borderId="0" xfId="0" applyFont="1" applyBorder="1" applyProtection="1"/>
    <xf numFmtId="0" fontId="22" fillId="0" borderId="0" xfId="0" applyFont="1" applyBorder="1" applyAlignment="1" applyProtection="1"/>
    <xf numFmtId="0" fontId="35" fillId="0" borderId="0" xfId="0" applyFont="1" applyBorder="1" applyProtection="1"/>
    <xf numFmtId="0" fontId="22" fillId="2" borderId="0" xfId="0" applyFont="1" applyFill="1" applyBorder="1" applyProtection="1"/>
    <xf numFmtId="0" fontId="35" fillId="0" borderId="0" xfId="0" applyFont="1" applyBorder="1" applyAlignment="1" applyProtection="1">
      <alignment horizontal="left"/>
    </xf>
    <xf numFmtId="2" fontId="22" fillId="0" borderId="0" xfId="0" applyNumberFormat="1" applyFont="1" applyBorder="1" applyAlignment="1" applyProtection="1">
      <alignment horizontal="left"/>
    </xf>
    <xf numFmtId="0" fontId="22" fillId="0" borderId="0" xfId="0" applyFont="1" applyFill="1" applyBorder="1" applyAlignment="1" applyProtection="1">
      <alignment horizontal="center"/>
    </xf>
    <xf numFmtId="0" fontId="35" fillId="0" borderId="0" xfId="0" applyFont="1" applyFill="1" applyBorder="1" applyProtection="1"/>
    <xf numFmtId="0" fontId="22" fillId="0" borderId="0" xfId="0" applyFont="1" applyProtection="1"/>
    <xf numFmtId="0" fontId="26" fillId="0" borderId="0" xfId="0" applyFont="1" applyFill="1" applyBorder="1" applyAlignment="1" applyProtection="1">
      <alignment horizontal="center"/>
    </xf>
    <xf numFmtId="0" fontId="22" fillId="2" borderId="0" xfId="0" applyFont="1" applyFill="1" applyBorder="1" applyAlignment="1" applyProtection="1">
      <alignment horizontal="center"/>
    </xf>
    <xf numFmtId="0" fontId="72" fillId="0" borderId="0" xfId="0" applyFont="1" applyFill="1" applyBorder="1" applyAlignment="1" applyProtection="1">
      <alignment horizontal="center"/>
    </xf>
    <xf numFmtId="0" fontId="22" fillId="0" borderId="0" xfId="0" applyFont="1" applyFill="1" applyProtection="1"/>
    <xf numFmtId="0" fontId="29" fillId="0" borderId="0" xfId="0" applyFont="1"/>
    <xf numFmtId="0" fontId="0" fillId="0" borderId="0" xfId="0" applyFill="1" applyProtection="1">
      <protection locked="0"/>
    </xf>
    <xf numFmtId="0" fontId="0" fillId="6" borderId="0" xfId="0" applyFill="1" applyBorder="1" applyProtection="1"/>
    <xf numFmtId="0" fontId="0" fillId="6" borderId="0" xfId="0" applyFill="1" applyBorder="1" applyAlignment="1" applyProtection="1">
      <alignment horizontal="left"/>
    </xf>
    <xf numFmtId="14" fontId="0" fillId="6" borderId="0" xfId="0" applyNumberFormat="1" applyFill="1" applyBorder="1" applyAlignment="1" applyProtection="1">
      <alignment horizontal="left"/>
    </xf>
    <xf numFmtId="0" fontId="0" fillId="6" borderId="0" xfId="0" applyFill="1" applyProtection="1"/>
    <xf numFmtId="0" fontId="0" fillId="6" borderId="0" xfId="0" applyFill="1" applyBorder="1" applyAlignment="1" applyProtection="1">
      <alignment horizontal="center"/>
    </xf>
    <xf numFmtId="0" fontId="22" fillId="6" borderId="0" xfId="0" applyFont="1" applyFill="1" applyBorder="1" applyProtection="1"/>
    <xf numFmtId="166" fontId="0" fillId="6" borderId="0" xfId="0" applyNumberFormat="1" applyFill="1" applyBorder="1" applyAlignment="1" applyProtection="1">
      <alignment horizontal="center" vertical="center"/>
    </xf>
    <xf numFmtId="0" fontId="94" fillId="6" borderId="0" xfId="0" applyFont="1" applyFill="1" applyBorder="1" applyAlignment="1" applyProtection="1">
      <alignment horizontal="left" vertical="center"/>
    </xf>
    <xf numFmtId="0" fontId="26" fillId="6" borderId="0" xfId="0" applyFont="1" applyFill="1" applyBorder="1" applyProtection="1"/>
    <xf numFmtId="170" fontId="0" fillId="6" borderId="0" xfId="0" applyNumberFormat="1" applyFill="1" applyBorder="1" applyAlignment="1" applyProtection="1">
      <alignment horizontal="center" vertical="center"/>
    </xf>
    <xf numFmtId="170" fontId="0" fillId="6" borderId="0" xfId="0" applyNumberFormat="1" applyFill="1" applyBorder="1" applyProtection="1"/>
    <xf numFmtId="170" fontId="22" fillId="6" borderId="0" xfId="0" applyNumberFormat="1" applyFont="1" applyFill="1" applyBorder="1" applyAlignment="1" applyProtection="1">
      <alignment horizontal="center" vertical="center"/>
    </xf>
    <xf numFmtId="166" fontId="22" fillId="6" borderId="0" xfId="0" applyNumberFormat="1" applyFont="1" applyFill="1" applyBorder="1" applyAlignment="1" applyProtection="1">
      <alignment horizontal="center"/>
    </xf>
    <xf numFmtId="166" fontId="22" fillId="6" borderId="0" xfId="0" applyNumberFormat="1" applyFont="1" applyFill="1" applyBorder="1" applyAlignment="1" applyProtection="1">
      <alignment horizontal="center" vertical="center"/>
    </xf>
    <xf numFmtId="0" fontId="94" fillId="6" borderId="0" xfId="0" applyFont="1" applyFill="1" applyBorder="1" applyAlignment="1" applyProtection="1">
      <alignment horizontal="center" vertical="center"/>
    </xf>
    <xf numFmtId="0" fontId="26" fillId="6" borderId="0" xfId="0" applyFont="1" applyFill="1" applyBorder="1" applyAlignment="1" applyProtection="1">
      <alignment horizontal="left" vertical="top" wrapText="1"/>
    </xf>
    <xf numFmtId="0" fontId="22" fillId="6" borderId="0" xfId="0" applyFont="1" applyFill="1"/>
    <xf numFmtId="0" fontId="0" fillId="6" borderId="0" xfId="0" applyFill="1"/>
    <xf numFmtId="166" fontId="26" fillId="6" borderId="2" xfId="0" applyNumberFormat="1" applyFont="1" applyFill="1" applyBorder="1" applyAlignment="1" applyProtection="1">
      <alignment horizontal="center" vertical="center"/>
    </xf>
    <xf numFmtId="0" fontId="53" fillId="6" borderId="0" xfId="0" applyFont="1" applyFill="1" applyProtection="1"/>
    <xf numFmtId="170" fontId="0" fillId="6" borderId="0" xfId="0" applyNumberFormat="1" applyFill="1" applyAlignment="1" applyProtection="1">
      <alignment horizontal="center" vertical="center"/>
    </xf>
    <xf numFmtId="0" fontId="26" fillId="6" borderId="0" xfId="0" applyFont="1" applyFill="1" applyAlignment="1" applyProtection="1">
      <alignment vertical="top" wrapText="1"/>
    </xf>
    <xf numFmtId="1" fontId="26" fillId="6" borderId="2" xfId="0" applyNumberFormat="1" applyFont="1" applyFill="1" applyBorder="1" applyAlignment="1" applyProtection="1">
      <alignment horizontal="center" vertical="center"/>
    </xf>
    <xf numFmtId="0" fontId="22" fillId="0" borderId="0" xfId="0" applyFont="1" applyFill="1" applyBorder="1" applyAlignment="1" applyProtection="1">
      <alignment vertical="center"/>
    </xf>
    <xf numFmtId="166" fontId="0" fillId="0" borderId="0" xfId="0" applyNumberFormat="1" applyAlignment="1" applyProtection="1">
      <alignment horizontal="center" vertical="center"/>
    </xf>
    <xf numFmtId="170" fontId="0" fillId="0" borderId="0" xfId="0" applyNumberFormat="1" applyAlignment="1" applyProtection="1">
      <alignment horizontal="center" vertical="center"/>
    </xf>
    <xf numFmtId="0" fontId="0" fillId="0" borderId="0" xfId="0" applyBorder="1" applyAlignment="1" applyProtection="1">
      <alignment horizontal="right"/>
    </xf>
    <xf numFmtId="0" fontId="0" fillId="0" borderId="0" xfId="0" quotePrefix="1" applyBorder="1" applyProtection="1"/>
    <xf numFmtId="0" fontId="22" fillId="0" borderId="0" xfId="0" applyFont="1" applyBorder="1" applyAlignment="1" applyProtection="1">
      <alignment horizontal="left" vertical="center"/>
    </xf>
    <xf numFmtId="0" fontId="71" fillId="0" borderId="0" xfId="0" applyFont="1" applyProtection="1"/>
    <xf numFmtId="0" fontId="41" fillId="0" borderId="0" xfId="0" applyFont="1" applyProtection="1"/>
    <xf numFmtId="0" fontId="41" fillId="0" borderId="0" xfId="0" applyFont="1" applyBorder="1" applyProtection="1"/>
    <xf numFmtId="0" fontId="41" fillId="0" borderId="0" xfId="0" applyFont="1" applyBorder="1" applyAlignment="1" applyProtection="1">
      <alignment horizontal="right"/>
    </xf>
    <xf numFmtId="1" fontId="41" fillId="0" borderId="0" xfId="0" applyNumberFormat="1" applyFont="1" applyBorder="1" applyAlignment="1" applyProtection="1">
      <alignment horizontal="center"/>
    </xf>
    <xf numFmtId="0" fontId="30" fillId="0" borderId="0" xfId="0" applyFont="1" applyBorder="1" applyAlignment="1" applyProtection="1">
      <alignment horizontal="center" vertical="center"/>
    </xf>
    <xf numFmtId="0" fontId="29" fillId="0" borderId="0" xfId="0" applyFont="1" applyBorder="1" applyAlignment="1" applyProtection="1">
      <alignment horizontal="left" vertical="center"/>
    </xf>
    <xf numFmtId="0" fontId="29" fillId="0" borderId="0" xfId="0" applyFont="1" applyBorder="1" applyAlignment="1" applyProtection="1">
      <alignment horizontal="center" vertical="center"/>
    </xf>
    <xf numFmtId="0" fontId="71" fillId="2" borderId="9" xfId="0" applyFont="1" applyFill="1" applyBorder="1"/>
    <xf numFmtId="0" fontId="34" fillId="7" borderId="0" xfId="0" applyFont="1" applyFill="1" applyBorder="1" applyAlignment="1" applyProtection="1">
      <alignment horizontal="center"/>
    </xf>
    <xf numFmtId="0" fontId="21" fillId="2" borderId="0" xfId="0" applyFont="1" applyFill="1" applyBorder="1" applyAlignment="1">
      <alignment horizontal="center"/>
    </xf>
    <xf numFmtId="0" fontId="78" fillId="2" borderId="0" xfId="0" applyFont="1" applyFill="1" applyBorder="1" applyAlignment="1">
      <alignment horizontal="center"/>
    </xf>
    <xf numFmtId="0" fontId="78" fillId="2" borderId="9" xfId="0" applyFont="1" applyFill="1" applyBorder="1" applyAlignment="1">
      <alignment horizontal="center"/>
    </xf>
    <xf numFmtId="2" fontId="67" fillId="2" borderId="0" xfId="0" applyNumberFormat="1" applyFont="1" applyFill="1" applyBorder="1" applyAlignment="1">
      <alignment horizontal="center"/>
    </xf>
    <xf numFmtId="0" fontId="67" fillId="2" borderId="0" xfId="0" applyFont="1" applyFill="1" applyBorder="1" applyAlignment="1">
      <alignment horizontal="center"/>
    </xf>
    <xf numFmtId="0" fontId="20" fillId="2" borderId="0" xfId="0" applyFont="1" applyFill="1" applyBorder="1" applyAlignment="1">
      <alignment horizontal="center"/>
    </xf>
    <xf numFmtId="2" fontId="20" fillId="2" borderId="0" xfId="0" applyNumberFormat="1" applyFont="1" applyFill="1" applyBorder="1" applyAlignment="1">
      <alignment horizontal="center"/>
    </xf>
    <xf numFmtId="2" fontId="40" fillId="5" borderId="0" xfId="0" applyNumberFormat="1" applyFont="1" applyFill="1" applyBorder="1" applyAlignment="1">
      <alignment horizontal="center"/>
    </xf>
    <xf numFmtId="0" fontId="40" fillId="5" borderId="0" xfId="0" applyFont="1" applyFill="1" applyBorder="1" applyAlignment="1">
      <alignment horizontal="center"/>
    </xf>
    <xf numFmtId="0" fontId="34" fillId="6" borderId="0" xfId="0" applyFont="1" applyFill="1" applyBorder="1" applyAlignment="1" applyProtection="1">
      <alignment horizontal="center"/>
    </xf>
    <xf numFmtId="0" fontId="26" fillId="6" borderId="0" xfId="0" applyFont="1" applyFill="1" applyBorder="1" applyAlignment="1" applyProtection="1">
      <alignment horizontal="left"/>
    </xf>
    <xf numFmtId="2" fontId="22" fillId="2" borderId="0" xfId="0" applyNumberFormat="1" applyFont="1" applyFill="1" applyBorder="1" applyAlignment="1">
      <alignment horizontal="center"/>
    </xf>
    <xf numFmtId="2" fontId="26" fillId="2" borderId="0" xfId="0" applyNumberFormat="1" applyFont="1" applyFill="1" applyBorder="1" applyAlignment="1">
      <alignment horizontal="center"/>
    </xf>
    <xf numFmtId="0" fontId="59" fillId="2" borderId="0" xfId="0" applyFont="1" applyFill="1" applyBorder="1"/>
    <xf numFmtId="0" fontId="26" fillId="2" borderId="10" xfId="0" applyFont="1" applyFill="1" applyBorder="1"/>
    <xf numFmtId="165" fontId="26" fillId="2" borderId="10" xfId="0" applyNumberFormat="1" applyFont="1" applyFill="1" applyBorder="1" applyAlignment="1">
      <alignment horizontal="center" vertical="center"/>
    </xf>
    <xf numFmtId="165" fontId="26" fillId="2" borderId="6" xfId="0" applyNumberFormat="1" applyFont="1" applyFill="1" applyBorder="1" applyAlignment="1">
      <alignment horizontal="center" vertical="center"/>
    </xf>
    <xf numFmtId="0" fontId="22" fillId="2" borderId="0" xfId="0" applyNumberFormat="1" applyFont="1" applyFill="1" applyBorder="1" applyAlignment="1">
      <alignment horizontal="center" vertical="top" wrapText="1"/>
    </xf>
    <xf numFmtId="0" fontId="22" fillId="2" borderId="9" xfId="0" applyFont="1" applyFill="1" applyBorder="1" applyAlignment="1">
      <alignment horizontal="center" vertical="top" wrapText="1"/>
    </xf>
    <xf numFmtId="165" fontId="22" fillId="2" borderId="0" xfId="0" applyNumberFormat="1" applyFont="1" applyFill="1" applyBorder="1" applyAlignment="1">
      <alignment horizontal="center"/>
    </xf>
    <xf numFmtId="165" fontId="22" fillId="2" borderId="9" xfId="0" applyNumberFormat="1" applyFont="1" applyFill="1" applyBorder="1" applyAlignment="1">
      <alignment horizontal="center"/>
    </xf>
    <xf numFmtId="166" fontId="22" fillId="2" borderId="0" xfId="0" applyNumberFormat="1" applyFont="1" applyFill="1" applyBorder="1" applyAlignment="1">
      <alignment horizontal="center"/>
    </xf>
    <xf numFmtId="166" fontId="22" fillId="2" borderId="9" xfId="0" applyNumberFormat="1" applyFont="1" applyFill="1" applyBorder="1" applyAlignment="1">
      <alignment horizontal="center"/>
    </xf>
    <xf numFmtId="165" fontId="53" fillId="2" borderId="0" xfId="0" applyNumberFormat="1" applyFont="1" applyFill="1" applyBorder="1" applyAlignment="1">
      <alignment horizontal="center"/>
    </xf>
    <xf numFmtId="165" fontId="53" fillId="2" borderId="9" xfId="0" applyNumberFormat="1" applyFont="1" applyFill="1" applyBorder="1" applyAlignment="1">
      <alignment horizontal="center"/>
    </xf>
    <xf numFmtId="2" fontId="22" fillId="2" borderId="10" xfId="0" applyNumberFormat="1" applyFont="1" applyFill="1" applyBorder="1" applyAlignment="1">
      <alignment horizontal="center"/>
    </xf>
    <xf numFmtId="2" fontId="22" fillId="2" borderId="6" xfId="0" applyNumberFormat="1" applyFont="1" applyFill="1" applyBorder="1" applyAlignment="1">
      <alignment horizontal="center"/>
    </xf>
    <xf numFmtId="2" fontId="26" fillId="2" borderId="0" xfId="0" applyNumberFormat="1" applyFont="1" applyFill="1" applyBorder="1" applyAlignment="1">
      <alignment horizontal="center" vertical="top" wrapText="1"/>
    </xf>
    <xf numFmtId="0" fontId="26" fillId="2" borderId="0" xfId="0" applyFont="1" applyFill="1" applyBorder="1" applyAlignment="1">
      <alignment vertical="center"/>
    </xf>
    <xf numFmtId="165" fontId="26" fillId="2" borderId="0" xfId="0" applyNumberFormat="1" applyFont="1" applyFill="1" applyBorder="1" applyAlignment="1">
      <alignment horizontal="center"/>
    </xf>
    <xf numFmtId="0" fontId="22" fillId="2" borderId="0" xfId="0" applyFont="1" applyFill="1" applyBorder="1" applyAlignment="1">
      <alignment horizontal="center" vertical="center"/>
    </xf>
    <xf numFmtId="0" fontId="22" fillId="2" borderId="0" xfId="0" applyFont="1" applyFill="1" applyBorder="1" applyAlignment="1">
      <alignment horizontal="left" vertical="center"/>
    </xf>
    <xf numFmtId="0" fontId="22" fillId="2" borderId="9" xfId="0" applyFont="1" applyFill="1" applyBorder="1" applyAlignment="1">
      <alignment horizontal="center" vertical="center"/>
    </xf>
    <xf numFmtId="0" fontId="26" fillId="2" borderId="0" xfId="0" applyFont="1" applyFill="1" applyBorder="1" applyAlignment="1">
      <alignment horizontal="left" vertical="center"/>
    </xf>
    <xf numFmtId="0" fontId="22" fillId="0" borderId="0" xfId="0" applyFont="1" applyFill="1" applyBorder="1" applyAlignment="1">
      <alignment horizontal="center"/>
    </xf>
    <xf numFmtId="2" fontId="26" fillId="2" borderId="10" xfId="0" applyNumberFormat="1" applyFont="1" applyFill="1" applyBorder="1" applyAlignment="1">
      <alignment horizontal="center"/>
    </xf>
    <xf numFmtId="0" fontId="26" fillId="2" borderId="0" xfId="0" applyFont="1" applyFill="1" applyBorder="1" applyAlignment="1">
      <alignment horizontal="left"/>
    </xf>
    <xf numFmtId="165" fontId="26" fillId="2" borderId="0" xfId="0" applyNumberFormat="1" applyFont="1" applyFill="1" applyBorder="1" applyAlignment="1">
      <alignment horizontal="center" vertical="center"/>
    </xf>
    <xf numFmtId="165" fontId="26" fillId="2" borderId="10" xfId="0" applyNumberFormat="1" applyFont="1" applyFill="1" applyBorder="1" applyAlignment="1">
      <alignment horizontal="center"/>
    </xf>
    <xf numFmtId="0" fontId="26" fillId="2" borderId="8" xfId="0" applyFont="1" applyFill="1" applyBorder="1" applyAlignment="1">
      <alignment horizontal="left" vertical="center"/>
    </xf>
    <xf numFmtId="0" fontId="53" fillId="2" borderId="8" xfId="0" applyFont="1" applyFill="1" applyBorder="1"/>
    <xf numFmtId="0" fontId="26" fillId="2" borderId="8" xfId="0" applyFont="1" applyFill="1" applyBorder="1" applyAlignment="1">
      <alignment vertical="center" wrapText="1"/>
    </xf>
    <xf numFmtId="0" fontId="22" fillId="2" borderId="8" xfId="0" applyFont="1" applyFill="1" applyBorder="1" applyAlignment="1">
      <alignment horizontal="left" vertical="center"/>
    </xf>
    <xf numFmtId="0" fontId="26" fillId="2" borderId="10" xfId="0" applyFont="1" applyFill="1" applyBorder="1" applyAlignment="1">
      <alignment horizontal="center"/>
    </xf>
    <xf numFmtId="0" fontId="26" fillId="2" borderId="8" xfId="0" applyFont="1" applyFill="1" applyBorder="1" applyAlignment="1">
      <alignment horizontal="left"/>
    </xf>
    <xf numFmtId="0" fontId="96" fillId="2" borderId="16" xfId="0" applyFont="1" applyFill="1" applyBorder="1"/>
    <xf numFmtId="0" fontId="96" fillId="2" borderId="0" xfId="0" applyFont="1" applyFill="1" applyBorder="1"/>
    <xf numFmtId="1" fontId="66" fillId="2" borderId="0" xfId="0" applyNumberFormat="1" applyFont="1" applyFill="1" applyBorder="1" applyAlignment="1">
      <alignment horizontal="center"/>
    </xf>
    <xf numFmtId="0" fontId="53" fillId="2" borderId="0" xfId="0" applyFont="1" applyFill="1" applyBorder="1" applyAlignment="1">
      <alignment horizontal="center" vertical="top" wrapText="1"/>
    </xf>
    <xf numFmtId="0" fontId="86" fillId="2" borderId="0" xfId="0" applyFont="1" applyFill="1" applyBorder="1" applyAlignment="1">
      <alignment vertical="top" wrapText="1"/>
    </xf>
    <xf numFmtId="0" fontId="26" fillId="2" borderId="11" xfId="0" applyFont="1" applyFill="1" applyBorder="1" applyAlignment="1">
      <alignment horizontal="left" vertical="center"/>
    </xf>
    <xf numFmtId="0" fontId="26" fillId="2" borderId="16" xfId="0" applyFont="1" applyFill="1" applyBorder="1"/>
    <xf numFmtId="0" fontId="26" fillId="2" borderId="16" xfId="0" applyFont="1" applyFill="1" applyBorder="1" applyAlignment="1">
      <alignment horizontal="left" vertical="center"/>
    </xf>
    <xf numFmtId="0" fontId="26" fillId="2" borderId="5" xfId="0" applyFont="1" applyFill="1" applyBorder="1" applyAlignment="1">
      <alignment horizontal="left" vertical="center"/>
    </xf>
    <xf numFmtId="0" fontId="26" fillId="2" borderId="10" xfId="0" applyFont="1" applyFill="1" applyBorder="1" applyAlignment="1">
      <alignment horizontal="left" vertical="center"/>
    </xf>
    <xf numFmtId="0" fontId="26" fillId="2" borderId="8" xfId="0" applyFont="1" applyFill="1" applyBorder="1" applyAlignment="1">
      <alignment vertical="top" wrapText="1"/>
    </xf>
    <xf numFmtId="166" fontId="26" fillId="2" borderId="0" xfId="0" applyNumberFormat="1" applyFont="1" applyFill="1" applyBorder="1" applyAlignment="1">
      <alignment horizontal="center" vertical="top" wrapText="1"/>
    </xf>
    <xf numFmtId="0" fontId="26" fillId="2" borderId="0" xfId="0" applyFont="1" applyFill="1" applyBorder="1" applyAlignment="1">
      <alignment vertical="top" wrapText="1"/>
    </xf>
    <xf numFmtId="2" fontId="26" fillId="2" borderId="0" xfId="0" applyNumberFormat="1" applyFont="1" applyFill="1" applyBorder="1" applyAlignment="1">
      <alignment horizontal="center" wrapText="1"/>
    </xf>
    <xf numFmtId="0" fontId="0" fillId="0" borderId="0" xfId="0" applyBorder="1" applyProtection="1"/>
    <xf numFmtId="0" fontId="0" fillId="0" borderId="0" xfId="0" applyFill="1" applyBorder="1" applyAlignment="1" applyProtection="1">
      <alignment horizontal="left"/>
    </xf>
    <xf numFmtId="0" fontId="26" fillId="0" borderId="0" xfId="0" applyFont="1" applyBorder="1" applyAlignment="1" applyProtection="1">
      <alignment horizontal="left" vertical="top" wrapText="1"/>
    </xf>
    <xf numFmtId="0" fontId="26" fillId="0" borderId="0" xfId="0" applyFont="1" applyAlignment="1" applyProtection="1">
      <alignment horizontal="center" vertical="center"/>
    </xf>
    <xf numFmtId="0" fontId="0" fillId="0" borderId="10" xfId="0" applyFill="1" applyBorder="1" applyAlignment="1" applyProtection="1">
      <alignment horizontal="center"/>
    </xf>
    <xf numFmtId="0" fontId="0" fillId="0" borderId="24" xfId="0" applyBorder="1" applyProtection="1">
      <protection locked="0"/>
    </xf>
    <xf numFmtId="0" fontId="0" fillId="0" borderId="1" xfId="0" applyBorder="1" applyProtection="1">
      <protection locked="0"/>
    </xf>
    <xf numFmtId="0" fontId="0" fillId="0" borderId="2" xfId="0" applyBorder="1" applyProtection="1">
      <protection locked="0"/>
    </xf>
    <xf numFmtId="0" fontId="0" fillId="0" borderId="11" xfId="0" applyBorder="1" applyProtection="1">
      <protection locked="0"/>
    </xf>
    <xf numFmtId="0" fontId="0" fillId="0" borderId="5" xfId="0" applyBorder="1" applyProtection="1">
      <protection locked="0"/>
    </xf>
    <xf numFmtId="0" fontId="41" fillId="0" borderId="0" xfId="0" applyFont="1" applyProtection="1">
      <protection locked="0"/>
    </xf>
    <xf numFmtId="0" fontId="61" fillId="8" borderId="0" xfId="0" applyFont="1" applyFill="1"/>
    <xf numFmtId="0" fontId="0" fillId="4" borderId="0" xfId="0" applyFill="1"/>
    <xf numFmtId="0" fontId="0" fillId="0" borderId="0" xfId="0" applyAlignment="1">
      <alignment horizontal="center"/>
    </xf>
    <xf numFmtId="0" fontId="39" fillId="0" borderId="0" xfId="1" applyAlignment="1" applyProtection="1"/>
    <xf numFmtId="1" fontId="26" fillId="2" borderId="2" xfId="0" applyNumberFormat="1" applyFont="1" applyFill="1" applyBorder="1" applyAlignment="1" applyProtection="1">
      <alignment horizontal="center" vertical="center"/>
      <protection hidden="1"/>
    </xf>
    <xf numFmtId="0" fontId="0" fillId="0" borderId="14" xfId="0" applyBorder="1" applyAlignment="1">
      <alignment horizontal="center"/>
    </xf>
    <xf numFmtId="0" fontId="98" fillId="0" borderId="0" xfId="0" applyFont="1"/>
    <xf numFmtId="0" fontId="71" fillId="0" borderId="0" xfId="0" applyFont="1"/>
    <xf numFmtId="0" fontId="22" fillId="0" borderId="0" xfId="0" applyFont="1" applyAlignment="1">
      <alignment horizontal="left"/>
    </xf>
    <xf numFmtId="0" fontId="22" fillId="0" borderId="0" xfId="0" applyFont="1" applyAlignment="1">
      <alignment horizontal="left" vertical="center"/>
    </xf>
    <xf numFmtId="0" fontId="104" fillId="10" borderId="0" xfId="0" applyFont="1" applyFill="1" applyBorder="1" applyAlignment="1" applyProtection="1">
      <alignment horizontal="left" vertical="distributed" wrapText="1"/>
      <protection locked="0"/>
    </xf>
    <xf numFmtId="0" fontId="99" fillId="9" borderId="40" xfId="0" applyFont="1" applyFill="1" applyBorder="1" applyAlignment="1" applyProtection="1">
      <alignment horizontal="left" vertical="top"/>
    </xf>
    <xf numFmtId="0" fontId="100" fillId="10" borderId="8" xfId="0" applyFont="1" applyFill="1" applyBorder="1" applyAlignment="1" applyProtection="1">
      <alignment horizontal="left" vertical="top"/>
    </xf>
    <xf numFmtId="0" fontId="100" fillId="10" borderId="0" xfId="0" applyFont="1" applyFill="1" applyBorder="1" applyAlignment="1" applyProtection="1">
      <alignment horizontal="left" vertical="top"/>
    </xf>
    <xf numFmtId="0" fontId="100" fillId="10" borderId="41" xfId="0" applyFont="1" applyFill="1" applyBorder="1" applyAlignment="1" applyProtection="1">
      <alignment horizontal="left" vertical="top"/>
    </xf>
    <xf numFmtId="0" fontId="103" fillId="10" borderId="0" xfId="0" applyFont="1" applyFill="1" applyBorder="1" applyAlignment="1" applyProtection="1">
      <alignment horizontal="left" vertical="top"/>
    </xf>
    <xf numFmtId="0" fontId="100" fillId="10" borderId="5" xfId="0" applyFont="1" applyFill="1" applyBorder="1" applyAlignment="1" applyProtection="1">
      <alignment horizontal="right" vertical="top"/>
    </xf>
    <xf numFmtId="0" fontId="100" fillId="10" borderId="10" xfId="0" applyFont="1" applyFill="1" applyBorder="1" applyAlignment="1" applyProtection="1">
      <alignment horizontal="right" vertical="top"/>
    </xf>
    <xf numFmtId="173" fontId="100" fillId="10" borderId="10" xfId="0" applyNumberFormat="1" applyFont="1" applyFill="1" applyBorder="1" applyAlignment="1" applyProtection="1">
      <alignment horizontal="right" vertical="top"/>
    </xf>
    <xf numFmtId="0" fontId="100" fillId="10" borderId="10" xfId="0" applyFont="1" applyFill="1" applyBorder="1" applyAlignment="1" applyProtection="1">
      <alignment horizontal="left" vertical="top"/>
    </xf>
    <xf numFmtId="164" fontId="100" fillId="10" borderId="10" xfId="0" applyNumberFormat="1" applyFont="1" applyFill="1" applyBorder="1" applyAlignment="1" applyProtection="1">
      <alignment horizontal="right" vertical="top"/>
    </xf>
    <xf numFmtId="164" fontId="100" fillId="10" borderId="42" xfId="0" applyNumberFormat="1" applyFont="1" applyFill="1" applyBorder="1" applyAlignment="1" applyProtection="1">
      <alignment horizontal="right" vertical="top"/>
    </xf>
    <xf numFmtId="0" fontId="101" fillId="10" borderId="0" xfId="0" applyFont="1" applyFill="1" applyBorder="1" applyAlignment="1" applyProtection="1">
      <alignment horizontal="left" vertical="distributed"/>
    </xf>
    <xf numFmtId="0" fontId="100" fillId="10" borderId="11" xfId="0" applyFont="1" applyFill="1" applyBorder="1" applyAlignment="1" applyProtection="1">
      <alignment horizontal="left" vertical="top"/>
    </xf>
    <xf numFmtId="0" fontId="100" fillId="10" borderId="16" xfId="0" applyFont="1" applyFill="1" applyBorder="1" applyAlignment="1" applyProtection="1">
      <alignment horizontal="left" vertical="top"/>
    </xf>
    <xf numFmtId="164" fontId="100" fillId="10" borderId="43" xfId="0" applyNumberFormat="1" applyFont="1" applyFill="1" applyBorder="1" applyAlignment="1" applyProtection="1">
      <alignment horizontal="right" vertical="top"/>
    </xf>
    <xf numFmtId="0" fontId="102" fillId="10" borderId="8" xfId="0" applyFont="1" applyFill="1" applyBorder="1" applyAlignment="1" applyProtection="1">
      <alignment horizontal="left" vertical="top"/>
    </xf>
    <xf numFmtId="10" fontId="102" fillId="10" borderId="0" xfId="0" applyNumberFormat="1" applyFont="1" applyFill="1" applyBorder="1" applyAlignment="1" applyProtection="1">
      <alignment horizontal="right" vertical="top"/>
    </xf>
    <xf numFmtId="164" fontId="102" fillId="10" borderId="41" xfId="0" applyNumberFormat="1" applyFont="1" applyFill="1" applyBorder="1" applyAlignment="1" applyProtection="1">
      <alignment horizontal="right" vertical="top"/>
    </xf>
    <xf numFmtId="0" fontId="100" fillId="10" borderId="44" xfId="0" applyFont="1" applyFill="1" applyBorder="1" applyAlignment="1" applyProtection="1">
      <alignment horizontal="left" vertical="top"/>
    </xf>
    <xf numFmtId="0" fontId="100" fillId="10" borderId="45" xfId="0" applyFont="1" applyFill="1" applyBorder="1" applyAlignment="1" applyProtection="1">
      <alignment horizontal="left" vertical="top"/>
    </xf>
    <xf numFmtId="164" fontId="100" fillId="10" borderId="46" xfId="0" applyNumberFormat="1" applyFont="1" applyFill="1" applyBorder="1" applyAlignment="1" applyProtection="1">
      <alignment horizontal="right" vertical="top"/>
    </xf>
    <xf numFmtId="0" fontId="21" fillId="2" borderId="0" xfId="0" applyFont="1" applyFill="1" applyBorder="1" applyAlignment="1" applyProtection="1">
      <alignment vertical="center"/>
      <protection locked="0"/>
    </xf>
    <xf numFmtId="0" fontId="21" fillId="0" borderId="0" xfId="0" applyFont="1" applyFill="1" applyBorder="1" applyAlignment="1" applyProtection="1">
      <alignment horizontal="center" vertical="center"/>
      <protection locked="0"/>
    </xf>
    <xf numFmtId="0" fontId="21" fillId="2" borderId="9" xfId="0" applyFont="1" applyFill="1" applyBorder="1" applyAlignment="1" applyProtection="1">
      <alignment vertical="center"/>
      <protection locked="0"/>
    </xf>
    <xf numFmtId="0" fontId="22" fillId="4" borderId="0" xfId="0" applyFont="1" applyFill="1"/>
    <xf numFmtId="0" fontId="22" fillId="2" borderId="0" xfId="0" applyFont="1" applyFill="1" applyBorder="1" applyAlignment="1">
      <alignment horizontal="center"/>
    </xf>
    <xf numFmtId="0" fontId="20" fillId="2" borderId="0" xfId="0" applyFont="1" applyFill="1" applyBorder="1" applyAlignment="1">
      <alignment horizontal="center"/>
    </xf>
    <xf numFmtId="2" fontId="20" fillId="2" borderId="0" xfId="0" applyNumberFormat="1" applyFont="1" applyFill="1" applyBorder="1" applyAlignment="1">
      <alignment horizontal="center"/>
    </xf>
    <xf numFmtId="0" fontId="17" fillId="2" borderId="8" xfId="0" applyFont="1" applyFill="1" applyBorder="1"/>
    <xf numFmtId="0" fontId="0" fillId="2" borderId="0" xfId="0" applyFill="1" applyBorder="1" applyProtection="1">
      <protection locked="0"/>
    </xf>
    <xf numFmtId="0" fontId="0" fillId="0" borderId="22" xfId="0" applyFill="1" applyBorder="1" applyProtection="1">
      <protection locked="0"/>
    </xf>
    <xf numFmtId="0" fontId="52" fillId="2" borderId="0" xfId="0" applyFont="1" applyFill="1" applyBorder="1" applyAlignment="1" applyProtection="1">
      <alignment horizontal="center" vertical="center"/>
      <protection locked="0"/>
    </xf>
    <xf numFmtId="0" fontId="21" fillId="2" borderId="22" xfId="0" applyFont="1" applyFill="1" applyBorder="1" applyAlignment="1" applyProtection="1">
      <alignment vertical="center"/>
      <protection locked="0"/>
    </xf>
    <xf numFmtId="0" fontId="26" fillId="2" borderId="0" xfId="0" applyFont="1" applyFill="1" applyBorder="1" applyAlignment="1" applyProtection="1">
      <alignment horizontal="left" vertical="top" wrapText="1"/>
      <protection locked="0"/>
    </xf>
    <xf numFmtId="0" fontId="26" fillId="2" borderId="12" xfId="0" applyFont="1" applyFill="1" applyBorder="1" applyAlignment="1" applyProtection="1">
      <alignment horizontal="left" vertical="top" wrapText="1"/>
      <protection locked="0"/>
    </xf>
    <xf numFmtId="0" fontId="65" fillId="2" borderId="0" xfId="0" applyFont="1" applyFill="1" applyBorder="1" applyAlignment="1">
      <alignment horizontal="left"/>
    </xf>
    <xf numFmtId="0" fontId="0" fillId="0" borderId="0" xfId="0" applyBorder="1" applyProtection="1"/>
    <xf numFmtId="0" fontId="0" fillId="0" borderId="11" xfId="0" applyBorder="1" applyProtection="1"/>
    <xf numFmtId="0" fontId="0" fillId="0" borderId="0" xfId="0" applyAlignment="1" applyProtection="1">
      <alignment horizontal="left" vertical="center"/>
    </xf>
    <xf numFmtId="170" fontId="26" fillId="6" borderId="24" xfId="0" applyNumberFormat="1" applyFont="1" applyFill="1" applyBorder="1" applyAlignment="1" applyProtection="1">
      <alignment horizontal="right" vertical="center"/>
    </xf>
    <xf numFmtId="170" fontId="26" fillId="6" borderId="18" xfId="0" applyNumberFormat="1" applyFont="1" applyFill="1" applyBorder="1" applyAlignment="1" applyProtection="1">
      <alignment horizontal="right" vertical="center"/>
    </xf>
    <xf numFmtId="0" fontId="22" fillId="0" borderId="0" xfId="0" applyFont="1" applyBorder="1" applyAlignment="1" applyProtection="1">
      <alignment vertical="top"/>
    </xf>
    <xf numFmtId="0" fontId="0" fillId="0" borderId="0" xfId="0" applyBorder="1" applyAlignment="1" applyProtection="1">
      <alignment vertical="top"/>
    </xf>
    <xf numFmtId="166" fontId="0" fillId="0" borderId="0" xfId="0" applyNumberFormat="1" applyBorder="1" applyAlignment="1" applyProtection="1">
      <alignment horizontal="center" vertical="top"/>
    </xf>
    <xf numFmtId="0" fontId="26" fillId="0" borderId="0" xfId="0" applyFont="1" applyProtection="1"/>
    <xf numFmtId="166" fontId="26" fillId="0" borderId="0" xfId="0" applyNumberFormat="1" applyFont="1" applyBorder="1" applyAlignment="1" applyProtection="1">
      <alignment horizontal="center" vertical="center"/>
    </xf>
    <xf numFmtId="170" fontId="26" fillId="6" borderId="24" xfId="0" applyNumberFormat="1" applyFont="1" applyFill="1" applyBorder="1" applyAlignment="1" applyProtection="1">
      <alignment horizontal="left" vertical="top"/>
    </xf>
    <xf numFmtId="170" fontId="26" fillId="6" borderId="18" xfId="0" applyNumberFormat="1" applyFont="1" applyFill="1" applyBorder="1" applyAlignment="1" applyProtection="1">
      <alignment horizontal="center" vertical="top"/>
    </xf>
    <xf numFmtId="170" fontId="26" fillId="6" borderId="1" xfId="0" applyNumberFormat="1" applyFont="1" applyFill="1" applyBorder="1" applyAlignment="1" applyProtection="1">
      <alignment horizontal="center" vertical="top"/>
    </xf>
    <xf numFmtId="170" fontId="26" fillId="6" borderId="2" xfId="0" applyNumberFormat="1" applyFont="1" applyFill="1" applyBorder="1" applyAlignment="1" applyProtection="1">
      <alignment horizontal="center" vertical="top" wrapText="1"/>
    </xf>
    <xf numFmtId="0" fontId="0" fillId="0" borderId="16" xfId="0" applyBorder="1" applyProtection="1"/>
    <xf numFmtId="0" fontId="0" fillId="0" borderId="3" xfId="0" applyBorder="1" applyProtection="1"/>
    <xf numFmtId="170" fontId="26" fillId="3" borderId="2" xfId="0" applyNumberFormat="1" applyFont="1" applyFill="1" applyBorder="1" applyAlignment="1" applyProtection="1">
      <alignment horizontal="center" vertical="top" wrapText="1"/>
    </xf>
    <xf numFmtId="0" fontId="0" fillId="0" borderId="16" xfId="0" applyFill="1" applyBorder="1" applyProtection="1"/>
    <xf numFmtId="0" fontId="0" fillId="0" borderId="0" xfId="0" applyAlignment="1" applyProtection="1">
      <alignment vertical="center"/>
    </xf>
    <xf numFmtId="0" fontId="0" fillId="0" borderId="0" xfId="0" applyProtection="1"/>
    <xf numFmtId="0" fontId="59" fillId="2" borderId="9" xfId="0" applyFont="1" applyFill="1" applyBorder="1"/>
    <xf numFmtId="2" fontId="59" fillId="2" borderId="0" xfId="0" applyNumberFormat="1" applyFont="1" applyFill="1" applyBorder="1"/>
    <xf numFmtId="2" fontId="22" fillId="2" borderId="0" xfId="0" applyNumberFormat="1" applyFont="1" applyFill="1" applyBorder="1" applyAlignment="1">
      <alignment horizontal="center"/>
    </xf>
    <xf numFmtId="0" fontId="22" fillId="2" borderId="0" xfId="0" applyFont="1" applyFill="1" applyBorder="1" applyAlignment="1">
      <alignment horizontal="center"/>
    </xf>
    <xf numFmtId="2" fontId="26" fillId="2" borderId="0" xfId="0" applyNumberFormat="1" applyFont="1" applyFill="1" applyBorder="1" applyAlignment="1">
      <alignment horizontal="center"/>
    </xf>
    <xf numFmtId="0" fontId="26" fillId="2" borderId="0" xfId="0" applyFont="1" applyFill="1" applyBorder="1" applyAlignment="1">
      <alignment horizontal="center"/>
    </xf>
    <xf numFmtId="2" fontId="22" fillId="2" borderId="0" xfId="0" applyNumberFormat="1" applyFont="1" applyFill="1" applyBorder="1" applyAlignment="1">
      <alignment horizontal="center"/>
    </xf>
    <xf numFmtId="0" fontId="22" fillId="2" borderId="0" xfId="0" applyFont="1" applyFill="1" applyBorder="1" applyAlignment="1">
      <alignment horizontal="center"/>
    </xf>
    <xf numFmtId="2" fontId="26" fillId="2" borderId="0" xfId="0" applyNumberFormat="1" applyFont="1" applyFill="1" applyBorder="1" applyAlignment="1">
      <alignment horizontal="center" vertical="center"/>
    </xf>
    <xf numFmtId="0" fontId="26" fillId="2" borderId="0" xfId="0" applyFont="1" applyFill="1" applyBorder="1" applyAlignment="1">
      <alignment horizontal="center" vertical="center"/>
    </xf>
    <xf numFmtId="2" fontId="26" fillId="2" borderId="0" xfId="0" applyNumberFormat="1" applyFont="1" applyFill="1" applyBorder="1" applyAlignment="1">
      <alignment horizontal="center"/>
    </xf>
    <xf numFmtId="0" fontId="78" fillId="2" borderId="0" xfId="0" applyFont="1" applyFill="1" applyBorder="1" applyAlignment="1">
      <alignment horizontal="center"/>
    </xf>
    <xf numFmtId="167" fontId="22" fillId="2" borderId="0" xfId="0" applyNumberFormat="1" applyFont="1" applyFill="1" applyBorder="1" applyAlignment="1">
      <alignment horizontal="center"/>
    </xf>
    <xf numFmtId="166" fontId="22" fillId="2" borderId="0" xfId="0" applyNumberFormat="1" applyFont="1" applyFill="1" applyBorder="1" applyAlignment="1">
      <alignment horizontal="center"/>
    </xf>
    <xf numFmtId="0" fontId="0" fillId="0" borderId="0" xfId="0" applyProtection="1"/>
    <xf numFmtId="0" fontId="109" fillId="2" borderId="0" xfId="0" applyFont="1" applyFill="1" applyBorder="1" applyAlignment="1">
      <alignment horizontal="center" vertical="top" wrapText="1"/>
    </xf>
    <xf numFmtId="0" fontId="110" fillId="2" borderId="0" xfId="0" applyFont="1" applyFill="1" applyBorder="1"/>
    <xf numFmtId="0" fontId="25" fillId="2" borderId="0" xfId="0" applyFont="1" applyFill="1" applyBorder="1"/>
    <xf numFmtId="0" fontId="111" fillId="2" borderId="0" xfId="0" applyFont="1" applyFill="1" applyBorder="1" applyAlignment="1">
      <alignment horizontal="center" vertical="top" wrapText="1"/>
    </xf>
    <xf numFmtId="0" fontId="112" fillId="2" borderId="8" xfId="0" applyFont="1" applyFill="1" applyBorder="1"/>
    <xf numFmtId="2" fontId="88" fillId="2" borderId="0" xfId="0" applyNumberFormat="1" applyFont="1" applyFill="1" applyBorder="1" applyAlignment="1">
      <alignment horizontal="center"/>
    </xf>
    <xf numFmtId="0" fontId="112" fillId="2" borderId="0" xfId="0" applyFont="1" applyFill="1" applyBorder="1"/>
    <xf numFmtId="1" fontId="88" fillId="2" borderId="0" xfId="0" applyNumberFormat="1" applyFont="1" applyFill="1" applyBorder="1" applyAlignment="1">
      <alignment horizontal="center"/>
    </xf>
    <xf numFmtId="0" fontId="88" fillId="2" borderId="9" xfId="0" applyFont="1" applyFill="1" applyBorder="1"/>
    <xf numFmtId="0" fontId="88" fillId="2" borderId="8" xfId="0" applyFont="1" applyFill="1" applyBorder="1"/>
    <xf numFmtId="167" fontId="88" fillId="2" borderId="0" xfId="0" applyNumberFormat="1" applyFont="1" applyFill="1" applyBorder="1" applyAlignment="1">
      <alignment horizontal="center"/>
    </xf>
    <xf numFmtId="2" fontId="112" fillId="2" borderId="0" xfId="0" applyNumberFormat="1" applyFont="1" applyFill="1" applyBorder="1" applyAlignment="1">
      <alignment horizontal="center"/>
    </xf>
    <xf numFmtId="0" fontId="112" fillId="2" borderId="9" xfId="0" applyFont="1" applyFill="1" applyBorder="1"/>
    <xf numFmtId="167" fontId="22" fillId="0" borderId="0" xfId="0" applyNumberFormat="1" applyFont="1" applyBorder="1" applyAlignment="1" applyProtection="1">
      <alignment horizontal="center"/>
    </xf>
    <xf numFmtId="2" fontId="64" fillId="0" borderId="0" xfId="0" applyNumberFormat="1" applyFont="1" applyBorder="1" applyAlignment="1" applyProtection="1">
      <alignment horizontal="center"/>
    </xf>
    <xf numFmtId="0" fontId="64" fillId="0" borderId="0" xfId="0" applyFont="1" applyBorder="1" applyAlignment="1" applyProtection="1">
      <alignment horizontal="center"/>
    </xf>
    <xf numFmtId="0" fontId="64" fillId="0" borderId="0" xfId="0" applyFont="1" applyBorder="1" applyProtection="1"/>
    <xf numFmtId="0" fontId="64" fillId="0" borderId="0" xfId="0" applyFont="1" applyBorder="1" applyAlignment="1" applyProtection="1">
      <alignment horizontal="left"/>
    </xf>
    <xf numFmtId="2" fontId="22" fillId="2" borderId="0" xfId="0" applyNumberFormat="1" applyFont="1" applyFill="1" applyBorder="1" applyAlignment="1">
      <alignment horizontal="center"/>
    </xf>
    <xf numFmtId="0" fontId="0" fillId="0" borderId="0" xfId="0" applyProtection="1"/>
    <xf numFmtId="0" fontId="0" fillId="0" borderId="0" xfId="0" applyProtection="1"/>
    <xf numFmtId="166" fontId="23" fillId="2" borderId="0" xfId="0" applyNumberFormat="1" applyFont="1" applyFill="1" applyBorder="1" applyAlignment="1">
      <alignment horizontal="center"/>
    </xf>
    <xf numFmtId="170" fontId="22" fillId="0" borderId="0" xfId="0" applyNumberFormat="1" applyFont="1" applyBorder="1" applyAlignment="1" applyProtection="1">
      <alignment horizontal="center"/>
    </xf>
    <xf numFmtId="170" fontId="0" fillId="0" borderId="0" xfId="0" applyNumberFormat="1" applyFill="1" applyBorder="1" applyAlignment="1" applyProtection="1">
      <alignment horizontal="center" vertical="center"/>
    </xf>
    <xf numFmtId="170" fontId="22" fillId="0" borderId="0" xfId="0" applyNumberFormat="1" applyFont="1" applyFill="1" applyBorder="1" applyAlignment="1" applyProtection="1">
      <alignment horizontal="center" vertical="center"/>
    </xf>
    <xf numFmtId="170" fontId="0" fillId="0" borderId="0" xfId="0" applyNumberFormat="1" applyFill="1" applyBorder="1" applyProtection="1"/>
    <xf numFmtId="0" fontId="65" fillId="0" borderId="0" xfId="0" applyFont="1" applyBorder="1" applyProtection="1"/>
    <xf numFmtId="167" fontId="22" fillId="0" borderId="0" xfId="0" applyNumberFormat="1" applyFont="1" applyFill="1" applyBorder="1" applyAlignment="1" applyProtection="1">
      <alignment horizontal="center"/>
    </xf>
    <xf numFmtId="2" fontId="22" fillId="0" borderId="0" xfId="0" applyNumberFormat="1" applyFont="1" applyFill="1" applyBorder="1" applyAlignment="1" applyProtection="1">
      <alignment horizontal="center"/>
    </xf>
    <xf numFmtId="2" fontId="26" fillId="0" borderId="0" xfId="0" applyNumberFormat="1" applyFont="1" applyFill="1" applyBorder="1" applyAlignment="1" applyProtection="1">
      <alignment horizontal="center"/>
    </xf>
    <xf numFmtId="0" fontId="0" fillId="0" borderId="0" xfId="0" applyProtection="1"/>
    <xf numFmtId="170" fontId="26" fillId="3" borderId="1" xfId="0" applyNumberFormat="1" applyFont="1" applyFill="1" applyBorder="1" applyAlignment="1" applyProtection="1">
      <alignment horizontal="center" vertical="top" wrapText="1"/>
    </xf>
    <xf numFmtId="170" fontId="26" fillId="6" borderId="48" xfId="0" applyNumberFormat="1" applyFont="1" applyFill="1" applyBorder="1" applyAlignment="1" applyProtection="1">
      <alignment horizontal="center" vertical="top" wrapText="1"/>
    </xf>
    <xf numFmtId="0" fontId="0" fillId="3" borderId="24" xfId="0" applyFill="1" applyBorder="1" applyProtection="1"/>
    <xf numFmtId="0" fontId="16" fillId="3" borderId="24" xfId="0" applyFont="1" applyFill="1" applyBorder="1" applyProtection="1"/>
    <xf numFmtId="0" fontId="53" fillId="6" borderId="0" xfId="0" applyFont="1" applyFill="1" applyBorder="1" applyAlignment="1" applyProtection="1">
      <alignment horizontal="left"/>
    </xf>
    <xf numFmtId="0" fontId="30" fillId="6" borderId="0" xfId="0" applyFont="1" applyFill="1" applyBorder="1" applyAlignment="1" applyProtection="1">
      <alignment horizontal="center"/>
    </xf>
    <xf numFmtId="0" fontId="22" fillId="6" borderId="0" xfId="0" applyFont="1" applyFill="1" applyBorder="1" applyAlignment="1" applyProtection="1"/>
    <xf numFmtId="0" fontId="0" fillId="0" borderId="0" xfId="0" applyProtection="1"/>
    <xf numFmtId="0" fontId="0" fillId="0" borderId="10" xfId="0" applyBorder="1" applyAlignment="1" applyProtection="1">
      <alignment vertical="center"/>
    </xf>
    <xf numFmtId="0" fontId="22" fillId="0" borderId="10" xfId="0" applyFont="1" applyBorder="1" applyAlignment="1" applyProtection="1">
      <alignment vertical="center"/>
    </xf>
    <xf numFmtId="0" fontId="0" fillId="0" borderId="10" xfId="0" applyBorder="1" applyAlignment="1" applyProtection="1">
      <alignment horizontal="center"/>
    </xf>
    <xf numFmtId="0" fontId="22" fillId="0" borderId="10" xfId="0" applyFont="1" applyBorder="1" applyProtection="1"/>
    <xf numFmtId="0" fontId="0" fillId="0" borderId="6" xfId="0" applyBorder="1" applyAlignment="1" applyProtection="1">
      <alignment vertical="top"/>
    </xf>
    <xf numFmtId="0" fontId="0" fillId="0" borderId="10" xfId="0" applyBorder="1" applyAlignment="1" applyProtection="1">
      <alignment horizontal="center" vertical="center"/>
    </xf>
    <xf numFmtId="0" fontId="0" fillId="0" borderId="6" xfId="0" applyBorder="1" applyAlignment="1" applyProtection="1">
      <alignment vertical="center"/>
    </xf>
    <xf numFmtId="0" fontId="0" fillId="0" borderId="24" xfId="0" applyFill="1" applyBorder="1" applyAlignment="1" applyProtection="1">
      <protection locked="0"/>
    </xf>
    <xf numFmtId="0" fontId="0" fillId="0" borderId="1" xfId="0" applyFill="1" applyBorder="1" applyAlignment="1" applyProtection="1">
      <protection locked="0"/>
    </xf>
    <xf numFmtId="0" fontId="26" fillId="0" borderId="0" xfId="0" applyFont="1" applyBorder="1" applyAlignment="1" applyProtection="1"/>
    <xf numFmtId="0" fontId="26" fillId="0" borderId="0" xfId="0" applyFont="1" applyBorder="1" applyAlignment="1" applyProtection="1">
      <alignment vertical="top"/>
    </xf>
    <xf numFmtId="0" fontId="22" fillId="2" borderId="0" xfId="0" applyFont="1" applyFill="1" applyBorder="1" applyAlignment="1">
      <alignment horizontal="center"/>
    </xf>
    <xf numFmtId="0" fontId="0" fillId="0" borderId="0" xfId="0" applyProtection="1"/>
    <xf numFmtId="1" fontId="0" fillId="0" borderId="0" xfId="0" applyNumberFormat="1" applyBorder="1" applyAlignment="1" applyProtection="1">
      <alignment horizontal="center" vertical="center" wrapText="1"/>
    </xf>
    <xf numFmtId="0" fontId="29" fillId="0" borderId="0" xfId="0" applyFont="1" applyBorder="1" applyAlignment="1" applyProtection="1">
      <alignment horizontal="center"/>
    </xf>
    <xf numFmtId="0" fontId="23" fillId="0" borderId="0" xfId="0" applyFont="1" applyBorder="1" applyAlignment="1" applyProtection="1"/>
    <xf numFmtId="0" fontId="119" fillId="0" borderId="0" xfId="0" applyFont="1" applyFill="1" applyBorder="1" applyAlignment="1" applyProtection="1"/>
    <xf numFmtId="0" fontId="22" fillId="0" borderId="9" xfId="0" applyFont="1" applyBorder="1" applyAlignment="1" applyProtection="1">
      <alignment horizontal="center" vertical="center" wrapText="1"/>
    </xf>
    <xf numFmtId="0" fontId="0" fillId="0" borderId="0" xfId="0" applyBorder="1" applyAlignment="1" applyProtection="1">
      <alignment horizontal="right" vertical="center"/>
    </xf>
    <xf numFmtId="0" fontId="26" fillId="0" borderId="0" xfId="0" applyFont="1" applyAlignment="1" applyProtection="1">
      <alignment vertical="center"/>
    </xf>
    <xf numFmtId="0" fontId="30" fillId="0" borderId="0" xfId="0" applyFont="1" applyProtection="1"/>
    <xf numFmtId="0" fontId="0" fillId="0" borderId="0" xfId="0" applyBorder="1" applyAlignment="1" applyProtection="1"/>
    <xf numFmtId="0" fontId="122" fillId="6" borderId="0" xfId="0" applyFont="1" applyFill="1" applyProtection="1"/>
    <xf numFmtId="0" fontId="119" fillId="6" borderId="0" xfId="0" applyFont="1" applyFill="1" applyBorder="1" applyAlignment="1" applyProtection="1"/>
    <xf numFmtId="0" fontId="119" fillId="6" borderId="0" xfId="0" applyFont="1" applyFill="1" applyBorder="1" applyAlignment="1" applyProtection="1">
      <alignment horizontal="center" vertical="center"/>
    </xf>
    <xf numFmtId="0" fontId="119" fillId="6" borderId="0" xfId="0" applyFont="1" applyFill="1" applyBorder="1" applyAlignment="1" applyProtection="1">
      <alignment vertical="center"/>
    </xf>
    <xf numFmtId="0" fontId="73" fillId="6" borderId="0" xfId="0" applyFont="1" applyFill="1" applyBorder="1" applyAlignment="1" applyProtection="1">
      <alignment horizontal="center" vertical="center"/>
    </xf>
    <xf numFmtId="0" fontId="119" fillId="6" borderId="0" xfId="0" applyFont="1" applyFill="1" applyBorder="1" applyAlignment="1" applyProtection="1">
      <alignment horizontal="center"/>
    </xf>
    <xf numFmtId="0" fontId="73" fillId="6" borderId="0" xfId="0" applyFont="1" applyFill="1" applyBorder="1" applyAlignment="1" applyProtection="1">
      <alignment horizontal="center"/>
    </xf>
    <xf numFmtId="0" fontId="0" fillId="2" borderId="0" xfId="0" applyFill="1" applyProtection="1">
      <protection locked="0"/>
    </xf>
    <xf numFmtId="0" fontId="0" fillId="2" borderId="0" xfId="0" applyFill="1" applyAlignment="1" applyProtection="1">
      <alignment vertical="center"/>
      <protection locked="0"/>
    </xf>
    <xf numFmtId="0" fontId="0" fillId="2" borderId="12" xfId="0" applyFill="1" applyBorder="1" applyProtection="1">
      <protection locked="0"/>
    </xf>
    <xf numFmtId="0" fontId="0" fillId="2" borderId="0" xfId="0" applyFill="1" applyBorder="1" applyAlignment="1" applyProtection="1">
      <alignment vertical="center"/>
      <protection locked="0"/>
    </xf>
    <xf numFmtId="0" fontId="0" fillId="2" borderId="22" xfId="0" applyFill="1" applyBorder="1" applyAlignment="1" applyProtection="1">
      <alignment horizontal="left" vertical="center"/>
      <protection locked="0"/>
    </xf>
    <xf numFmtId="0" fontId="0" fillId="2" borderId="0" xfId="0" applyFill="1" applyBorder="1" applyAlignment="1" applyProtection="1">
      <alignment horizontal="center" vertical="center"/>
      <protection locked="0"/>
    </xf>
    <xf numFmtId="0" fontId="0" fillId="2" borderId="9" xfId="0" quotePrefix="1" applyFill="1" applyBorder="1" applyAlignment="1" applyProtection="1">
      <alignment vertical="center"/>
      <protection locked="0"/>
    </xf>
    <xf numFmtId="0" fontId="0" fillId="2" borderId="13" xfId="0" applyFill="1" applyBorder="1" applyProtection="1">
      <protection locked="0"/>
    </xf>
    <xf numFmtId="0" fontId="0" fillId="2" borderId="14" xfId="0" applyFill="1" applyBorder="1" applyProtection="1">
      <protection locked="0"/>
    </xf>
    <xf numFmtId="0" fontId="0" fillId="2" borderId="39" xfId="0" applyFill="1" applyBorder="1" applyProtection="1">
      <protection locked="0"/>
    </xf>
    <xf numFmtId="0" fontId="42" fillId="2" borderId="14" xfId="0" applyFont="1" applyFill="1" applyBorder="1" applyAlignment="1" applyProtection="1">
      <alignment horizontal="center" vertical="center"/>
      <protection locked="0"/>
    </xf>
    <xf numFmtId="0" fontId="33" fillId="2" borderId="14" xfId="0" applyFont="1" applyFill="1" applyBorder="1" applyProtection="1">
      <protection locked="0"/>
    </xf>
    <xf numFmtId="0" fontId="33" fillId="2" borderId="15" xfId="0" applyFont="1" applyFill="1" applyBorder="1" applyProtection="1">
      <protection locked="0"/>
    </xf>
    <xf numFmtId="0" fontId="0" fillId="0" borderId="0" xfId="0" applyFill="1" applyBorder="1" applyProtection="1"/>
    <xf numFmtId="0" fontId="26" fillId="0" borderId="0" xfId="0" applyFont="1" applyBorder="1" applyAlignment="1" applyProtection="1">
      <alignment horizontal="center" vertical="center"/>
    </xf>
    <xf numFmtId="0" fontId="26" fillId="0" borderId="0" xfId="0" applyFont="1" applyBorder="1" applyAlignment="1" applyProtection="1">
      <alignment horizontal="center"/>
    </xf>
    <xf numFmtId="0" fontId="26" fillId="0" borderId="0" xfId="0" applyFont="1" applyBorder="1" applyAlignment="1" applyProtection="1">
      <alignment horizontal="left" vertical="center"/>
    </xf>
    <xf numFmtId="0" fontId="26" fillId="0" borderId="0" xfId="0" applyFont="1" applyAlignment="1" applyProtection="1">
      <alignment horizontal="left" vertical="center"/>
    </xf>
    <xf numFmtId="0" fontId="94" fillId="0" borderId="0" xfId="0" applyFont="1" applyBorder="1" applyAlignment="1" applyProtection="1">
      <alignment horizontal="center" vertical="center"/>
    </xf>
    <xf numFmtId="171" fontId="26" fillId="0" borderId="0" xfId="0" applyNumberFormat="1" applyFont="1" applyBorder="1" applyAlignment="1" applyProtection="1">
      <alignment horizontal="center" vertical="center"/>
    </xf>
    <xf numFmtId="0" fontId="0" fillId="0" borderId="0" xfId="0" applyBorder="1" applyAlignment="1" applyProtection="1">
      <alignment horizontal="center"/>
    </xf>
    <xf numFmtId="0" fontId="22" fillId="0" borderId="0" xfId="0" applyFont="1" applyBorder="1" applyAlignment="1" applyProtection="1">
      <alignment horizontal="left" vertical="center" wrapText="1"/>
    </xf>
    <xf numFmtId="0" fontId="22" fillId="0" borderId="0" xfId="0" applyFont="1" applyBorder="1" applyAlignment="1" applyProtection="1">
      <alignment horizontal="left"/>
    </xf>
    <xf numFmtId="0" fontId="22" fillId="0" borderId="0" xfId="0" applyFont="1" applyFill="1" applyBorder="1" applyAlignment="1" applyProtection="1">
      <alignment horizontal="left"/>
    </xf>
    <xf numFmtId="0" fontId="0" fillId="0" borderId="0" xfId="0" applyFill="1" applyBorder="1" applyAlignment="1" applyProtection="1">
      <alignment horizontal="left"/>
    </xf>
    <xf numFmtId="0" fontId="94" fillId="0" borderId="0" xfId="0" applyFont="1" applyBorder="1" applyAlignment="1" applyProtection="1">
      <alignment horizontal="left" vertical="center"/>
    </xf>
    <xf numFmtId="0" fontId="0" fillId="0" borderId="0" xfId="0" applyProtection="1"/>
    <xf numFmtId="0" fontId="0" fillId="0" borderId="0" xfId="0" applyFill="1" applyBorder="1" applyAlignment="1" applyProtection="1"/>
    <xf numFmtId="0" fontId="30" fillId="0" borderId="0" xfId="0" applyFont="1" applyFill="1" applyBorder="1" applyAlignment="1" applyProtection="1">
      <alignment horizontal="center"/>
    </xf>
    <xf numFmtId="0" fontId="0" fillId="0" borderId="1" xfId="0" applyBorder="1" applyProtection="1"/>
    <xf numFmtId="0" fontId="0" fillId="0" borderId="6" xfId="0" applyBorder="1" applyProtection="1"/>
    <xf numFmtId="0" fontId="0" fillId="0" borderId="2" xfId="0" applyBorder="1" applyProtection="1"/>
    <xf numFmtId="0" fontId="0" fillId="0" borderId="4" xfId="0" applyBorder="1" applyProtection="1"/>
    <xf numFmtId="0" fontId="0" fillId="0" borderId="7" xfId="0" applyBorder="1" applyProtection="1"/>
    <xf numFmtId="0" fontId="0" fillId="0" borderId="24" xfId="0" applyBorder="1" applyProtection="1"/>
    <xf numFmtId="0" fontId="26" fillId="3" borderId="2" xfId="0" applyFont="1" applyFill="1" applyBorder="1" applyAlignment="1" applyProtection="1">
      <alignment horizontal="center" vertical="center"/>
    </xf>
    <xf numFmtId="0" fontId="26" fillId="3" borderId="2" xfId="0" applyFont="1" applyFill="1" applyBorder="1" applyAlignment="1" applyProtection="1">
      <alignment horizontal="center" vertical="top" wrapText="1"/>
    </xf>
    <xf numFmtId="0" fontId="22" fillId="6" borderId="18" xfId="0" applyFont="1" applyFill="1" applyBorder="1" applyAlignment="1" applyProtection="1">
      <alignment horizontal="center" vertical="center"/>
    </xf>
    <xf numFmtId="2" fontId="22" fillId="6" borderId="1" xfId="0" applyNumberFormat="1" applyFont="1" applyFill="1" applyBorder="1" applyAlignment="1" applyProtection="1">
      <alignment horizontal="center" vertical="center"/>
    </xf>
    <xf numFmtId="166" fontId="26" fillId="3" borderId="2" xfId="0" applyNumberFormat="1" applyFont="1" applyFill="1" applyBorder="1" applyAlignment="1" applyProtection="1">
      <alignment horizontal="center" vertical="center"/>
    </xf>
    <xf numFmtId="166" fontId="26" fillId="3" borderId="1" xfId="0" applyNumberFormat="1" applyFont="1" applyFill="1" applyBorder="1" applyAlignment="1" applyProtection="1">
      <alignment horizontal="center" vertical="center"/>
    </xf>
    <xf numFmtId="166" fontId="73" fillId="0" borderId="2" xfId="0" applyNumberFormat="1" applyFont="1" applyBorder="1" applyAlignment="1" applyProtection="1">
      <alignment horizontal="center" vertical="center"/>
    </xf>
    <xf numFmtId="166" fontId="73" fillId="0" borderId="48" xfId="0" applyNumberFormat="1" applyFont="1" applyBorder="1" applyAlignment="1" applyProtection="1">
      <alignment horizontal="center" vertical="center"/>
    </xf>
    <xf numFmtId="0" fontId="73" fillId="3" borderId="1" xfId="0" applyNumberFormat="1" applyFont="1" applyFill="1" applyBorder="1" applyAlignment="1" applyProtection="1">
      <alignment horizontal="center" vertical="center"/>
    </xf>
    <xf numFmtId="0" fontId="26" fillId="3" borderId="2" xfId="0" applyNumberFormat="1" applyFont="1" applyFill="1" applyBorder="1" applyAlignment="1" applyProtection="1">
      <alignment horizontal="center" vertical="center"/>
    </xf>
    <xf numFmtId="1" fontId="73" fillId="3" borderId="1" xfId="0" applyNumberFormat="1" applyFont="1" applyFill="1" applyBorder="1" applyAlignment="1" applyProtection="1">
      <alignment horizontal="center" vertical="center"/>
    </xf>
    <xf numFmtId="0" fontId="37" fillId="6" borderId="18" xfId="0" applyFont="1" applyFill="1" applyBorder="1" applyAlignment="1" applyProtection="1">
      <alignment horizontal="center" vertical="center"/>
    </xf>
    <xf numFmtId="2" fontId="26" fillId="6" borderId="1" xfId="0" applyNumberFormat="1" applyFont="1" applyFill="1" applyBorder="1" applyAlignment="1" applyProtection="1">
      <alignment horizontal="center" vertical="center"/>
    </xf>
    <xf numFmtId="0" fontId="22" fillId="6" borderId="1" xfId="0" applyFont="1" applyFill="1" applyBorder="1" applyAlignment="1" applyProtection="1">
      <alignment horizontal="center" vertical="center"/>
    </xf>
    <xf numFmtId="0" fontId="22" fillId="6" borderId="24" xfId="0" applyFont="1" applyFill="1" applyBorder="1" applyAlignment="1" applyProtection="1">
      <alignment horizontal="left" vertical="center"/>
    </xf>
    <xf numFmtId="0" fontId="22" fillId="6" borderId="1" xfId="0" applyFont="1" applyFill="1" applyBorder="1" applyProtection="1"/>
    <xf numFmtId="0" fontId="22" fillId="6" borderId="0" xfId="0" applyFont="1" applyFill="1" applyBorder="1" applyAlignment="1" applyProtection="1">
      <alignment horizontal="left" vertical="center"/>
    </xf>
    <xf numFmtId="0" fontId="22" fillId="6" borderId="24" xfId="0" applyFont="1" applyFill="1" applyBorder="1" applyProtection="1"/>
    <xf numFmtId="0" fontId="26" fillId="6" borderId="1" xfId="0" applyFont="1" applyFill="1" applyBorder="1" applyAlignment="1" applyProtection="1">
      <alignment horizontal="center" vertical="center"/>
    </xf>
    <xf numFmtId="0" fontId="71" fillId="6" borderId="0" xfId="0" applyFont="1" applyFill="1" applyBorder="1" applyProtection="1"/>
    <xf numFmtId="0" fontId="35" fillId="6" borderId="0" xfId="0" applyFont="1" applyFill="1" applyBorder="1" applyProtection="1"/>
    <xf numFmtId="0" fontId="22" fillId="6" borderId="0" xfId="0" applyFont="1" applyFill="1" applyBorder="1" applyAlignment="1" applyProtection="1">
      <alignment horizontal="center"/>
    </xf>
    <xf numFmtId="0" fontId="22" fillId="6" borderId="0" xfId="0" applyFont="1" applyFill="1" applyBorder="1" applyAlignment="1" applyProtection="1">
      <alignment horizontal="left"/>
    </xf>
    <xf numFmtId="0" fontId="71" fillId="6" borderId="0" xfId="0" applyFont="1" applyFill="1" applyBorder="1" applyAlignment="1" applyProtection="1">
      <alignment horizontal="left"/>
    </xf>
    <xf numFmtId="2" fontId="22" fillId="6" borderId="0" xfId="0" applyNumberFormat="1" applyFont="1" applyFill="1" applyBorder="1" applyAlignment="1" applyProtection="1">
      <alignment horizontal="center"/>
    </xf>
    <xf numFmtId="1" fontId="22" fillId="6" borderId="0" xfId="0" applyNumberFormat="1" applyFont="1" applyFill="1" applyBorder="1" applyAlignment="1" applyProtection="1">
      <alignment horizontal="center"/>
    </xf>
    <xf numFmtId="0" fontId="37" fillId="6" borderId="0" xfId="0" applyFont="1" applyFill="1" applyBorder="1" applyProtection="1"/>
    <xf numFmtId="2" fontId="26" fillId="6" borderId="0" xfId="0" applyNumberFormat="1" applyFont="1" applyFill="1" applyBorder="1" applyAlignment="1" applyProtection="1">
      <alignment horizontal="center"/>
    </xf>
    <xf numFmtId="0" fontId="72" fillId="6" borderId="0" xfId="0" applyFont="1" applyFill="1" applyBorder="1" applyAlignment="1" applyProtection="1">
      <alignment horizontal="center"/>
    </xf>
    <xf numFmtId="0" fontId="36" fillId="6" borderId="0" xfId="0" applyFont="1" applyFill="1" applyBorder="1" applyProtection="1"/>
    <xf numFmtId="0" fontId="22" fillId="6" borderId="0" xfId="0" applyFont="1" applyFill="1" applyBorder="1" applyAlignment="1" applyProtection="1">
      <alignment horizontal="left" vertical="center" wrapText="1"/>
    </xf>
    <xf numFmtId="0" fontId="35" fillId="6" borderId="0" xfId="0" applyFont="1" applyFill="1" applyBorder="1" applyAlignment="1" applyProtection="1">
      <alignment horizontal="left"/>
    </xf>
    <xf numFmtId="2" fontId="22" fillId="6" borderId="0" xfId="0" applyNumberFormat="1" applyFont="1" applyFill="1" applyBorder="1" applyAlignment="1" applyProtection="1">
      <alignment horizontal="left"/>
    </xf>
    <xf numFmtId="0" fontId="35" fillId="6" borderId="0" xfId="0" applyFont="1" applyFill="1" applyBorder="1" applyAlignment="1" applyProtection="1"/>
    <xf numFmtId="0" fontId="95" fillId="6" borderId="0" xfId="0" applyFont="1" applyFill="1" applyBorder="1" applyProtection="1"/>
    <xf numFmtId="166" fontId="71" fillId="6" borderId="0" xfId="0" applyNumberFormat="1" applyFont="1" applyFill="1" applyBorder="1" applyAlignment="1" applyProtection="1">
      <alignment horizontal="center"/>
    </xf>
    <xf numFmtId="0" fontId="71" fillId="6" borderId="0" xfId="0" applyFont="1" applyFill="1" applyBorder="1" applyAlignment="1" applyProtection="1">
      <alignment horizontal="center"/>
    </xf>
    <xf numFmtId="1" fontId="71" fillId="6" borderId="0" xfId="0" applyNumberFormat="1" applyFont="1" applyFill="1" applyBorder="1" applyAlignment="1" applyProtection="1">
      <alignment horizontal="center"/>
    </xf>
    <xf numFmtId="2" fontId="71" fillId="6" borderId="0" xfId="0" applyNumberFormat="1" applyFont="1" applyFill="1" applyBorder="1" applyAlignment="1" applyProtection="1">
      <alignment horizontal="center"/>
    </xf>
    <xf numFmtId="0" fontId="65" fillId="0" borderId="0" xfId="0" applyFont="1" applyProtection="1"/>
    <xf numFmtId="0" fontId="63" fillId="0" borderId="0" xfId="0" applyFont="1" applyProtection="1"/>
    <xf numFmtId="0" fontId="44" fillId="0" borderId="0" xfId="0" applyFont="1" applyProtection="1"/>
    <xf numFmtId="49" fontId="82" fillId="0" borderId="0" xfId="0" applyNumberFormat="1" applyFont="1" applyProtection="1"/>
    <xf numFmtId="0" fontId="80" fillId="0" borderId="0" xfId="0" applyFont="1" applyProtection="1"/>
    <xf numFmtId="0" fontId="79" fillId="0" borderId="0" xfId="0" applyFont="1" applyProtection="1"/>
    <xf numFmtId="0" fontId="0" fillId="0" borderId="0" xfId="0" applyProtection="1"/>
    <xf numFmtId="0" fontId="0" fillId="0" borderId="0" xfId="0" applyBorder="1" applyAlignment="1" applyProtection="1">
      <alignment horizontal="center" vertical="center" wrapText="1"/>
    </xf>
    <xf numFmtId="1" fontId="0" fillId="0" borderId="0" xfId="0" applyNumberFormat="1" applyBorder="1" applyAlignment="1" applyProtection="1">
      <alignment horizontal="center" vertical="center"/>
    </xf>
    <xf numFmtId="0" fontId="0" fillId="0" borderId="9" xfId="0" applyBorder="1" applyAlignment="1" applyProtection="1">
      <alignment vertical="center"/>
    </xf>
    <xf numFmtId="0" fontId="23" fillId="0" borderId="0" xfId="0" applyFont="1" applyBorder="1" applyAlignment="1" applyProtection="1">
      <alignment horizontal="left" vertical="center"/>
    </xf>
    <xf numFmtId="0" fontId="26" fillId="6" borderId="18" xfId="0" applyFont="1" applyFill="1" applyBorder="1" applyAlignment="1" applyProtection="1">
      <alignment horizontal="center" vertical="center"/>
    </xf>
    <xf numFmtId="0" fontId="53" fillId="6" borderId="0" xfId="0" applyFont="1" applyFill="1" applyBorder="1" applyAlignment="1" applyProtection="1">
      <alignment horizontal="right"/>
    </xf>
    <xf numFmtId="0" fontId="26" fillId="6" borderId="0" xfId="0" applyFont="1" applyFill="1" applyBorder="1" applyAlignment="1" applyProtection="1">
      <alignment horizontal="center"/>
    </xf>
    <xf numFmtId="0" fontId="109" fillId="6" borderId="0" xfId="0" applyFont="1" applyFill="1" applyBorder="1" applyAlignment="1" applyProtection="1">
      <alignment horizontal="left" vertical="center"/>
    </xf>
    <xf numFmtId="0" fontId="26" fillId="6" borderId="0" xfId="0" applyFont="1" applyFill="1" applyBorder="1" applyAlignment="1" applyProtection="1">
      <alignment horizontal="center" vertical="center"/>
    </xf>
    <xf numFmtId="0" fontId="22" fillId="6" borderId="0" xfId="0" applyFont="1" applyFill="1" applyProtection="1"/>
    <xf numFmtId="0" fontId="26" fillId="6" borderId="24" xfId="0" applyFont="1" applyFill="1" applyBorder="1" applyAlignment="1" applyProtection="1">
      <alignment horizontal="left" vertical="center"/>
    </xf>
    <xf numFmtId="0" fontId="0" fillId="0" borderId="0" xfId="0" applyBorder="1" applyAlignment="1" applyProtection="1">
      <alignment horizontal="left" vertical="center" wrapText="1"/>
    </xf>
    <xf numFmtId="0" fontId="0" fillId="0" borderId="9" xfId="0" applyBorder="1" applyAlignment="1" applyProtection="1">
      <alignment horizontal="left" vertical="center" wrapText="1"/>
    </xf>
    <xf numFmtId="0" fontId="22"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22" fillId="0" borderId="8" xfId="0" applyFont="1" applyBorder="1" applyAlignment="1" applyProtection="1">
      <alignment horizontal="center" vertical="center"/>
    </xf>
    <xf numFmtId="0" fontId="22" fillId="0" borderId="0" xfId="0" applyFont="1" applyBorder="1" applyAlignment="1" applyProtection="1">
      <alignment horizontal="center" vertical="center"/>
    </xf>
    <xf numFmtId="0" fontId="22" fillId="0" borderId="9" xfId="0" applyFont="1" applyBorder="1" applyAlignment="1" applyProtection="1">
      <alignment horizontal="center" vertical="center"/>
    </xf>
    <xf numFmtId="0" fontId="0" fillId="0" borderId="0" xfId="0" applyProtection="1"/>
    <xf numFmtId="0" fontId="0" fillId="6" borderId="0" xfId="0" applyFill="1" applyBorder="1" applyProtection="1">
      <protection locked="0"/>
    </xf>
    <xf numFmtId="0" fontId="0" fillId="6" borderId="0" xfId="0" applyFill="1" applyProtection="1">
      <protection locked="0"/>
    </xf>
    <xf numFmtId="0" fontId="26" fillId="6" borderId="0" xfId="0" applyFont="1" applyFill="1" applyBorder="1" applyAlignment="1" applyProtection="1">
      <alignment horizontal="left"/>
      <protection locked="0"/>
    </xf>
    <xf numFmtId="0" fontId="22" fillId="6" borderId="0" xfId="0" applyFont="1" applyFill="1" applyProtection="1">
      <protection locked="0"/>
    </xf>
    <xf numFmtId="0" fontId="26" fillId="3" borderId="2" xfId="0" applyFont="1" applyFill="1" applyBorder="1" applyAlignment="1" applyProtection="1">
      <alignment horizontal="center" vertical="center"/>
      <protection locked="0"/>
    </xf>
    <xf numFmtId="1" fontId="26" fillId="3" borderId="2" xfId="0" applyNumberFormat="1" applyFont="1" applyFill="1" applyBorder="1" applyAlignment="1" applyProtection="1">
      <alignment horizontal="center" vertical="center"/>
      <protection locked="0"/>
    </xf>
    <xf numFmtId="0" fontId="26" fillId="6" borderId="0" xfId="0" applyFont="1" applyFill="1" applyBorder="1" applyProtection="1">
      <protection locked="0"/>
    </xf>
    <xf numFmtId="0" fontId="26" fillId="6" borderId="0" xfId="0" applyFont="1" applyFill="1" applyBorder="1" applyAlignment="1" applyProtection="1">
      <alignment horizontal="center"/>
      <protection locked="0"/>
    </xf>
    <xf numFmtId="0" fontId="22" fillId="6" borderId="0" xfId="0" applyFont="1" applyFill="1" applyBorder="1" applyProtection="1">
      <protection locked="0"/>
    </xf>
    <xf numFmtId="166" fontId="22" fillId="6" borderId="0" xfId="0" applyNumberFormat="1" applyFont="1" applyFill="1" applyBorder="1" applyAlignment="1" applyProtection="1">
      <alignment horizontal="center"/>
      <protection locked="0"/>
    </xf>
    <xf numFmtId="0" fontId="0" fillId="6" borderId="0" xfId="0" applyFill="1" applyBorder="1" applyAlignment="1" applyProtection="1">
      <alignment horizontal="right"/>
      <protection locked="0"/>
    </xf>
    <xf numFmtId="1" fontId="0" fillId="6" borderId="0" xfId="0" applyNumberFormat="1" applyFill="1" applyBorder="1" applyAlignment="1" applyProtection="1">
      <alignment horizontal="center"/>
      <protection locked="0"/>
    </xf>
    <xf numFmtId="0" fontId="22" fillId="6" borderId="0" xfId="0" applyFont="1" applyFill="1" applyBorder="1" applyAlignment="1" applyProtection="1">
      <alignment horizontal="left" vertical="center"/>
      <protection locked="0"/>
    </xf>
    <xf numFmtId="0" fontId="71" fillId="6" borderId="0" xfId="0" applyFont="1" applyFill="1" applyBorder="1" applyProtection="1">
      <protection locked="0"/>
    </xf>
    <xf numFmtId="0" fontId="35" fillId="6" borderId="0" xfId="0" applyFont="1" applyFill="1" applyBorder="1" applyProtection="1">
      <protection locked="0"/>
    </xf>
    <xf numFmtId="0" fontId="22" fillId="6" borderId="0" xfId="0" applyFont="1" applyFill="1" applyBorder="1" applyAlignment="1" applyProtection="1">
      <alignment horizontal="center"/>
      <protection locked="0"/>
    </xf>
    <xf numFmtId="0" fontId="22" fillId="6" borderId="0" xfId="0" applyFont="1" applyFill="1" applyBorder="1" applyAlignment="1" applyProtection="1">
      <alignment horizontal="left"/>
      <protection locked="0"/>
    </xf>
    <xf numFmtId="0" fontId="71" fillId="6" borderId="0" xfId="0" applyFont="1" applyFill="1" applyBorder="1" applyAlignment="1" applyProtection="1">
      <alignment horizontal="left"/>
      <protection locked="0"/>
    </xf>
    <xf numFmtId="2" fontId="22" fillId="6" borderId="0" xfId="0" applyNumberFormat="1" applyFont="1" applyFill="1" applyBorder="1" applyAlignment="1" applyProtection="1">
      <alignment horizontal="center"/>
      <protection locked="0"/>
    </xf>
    <xf numFmtId="1" fontId="22" fillId="6" borderId="0" xfId="0" applyNumberFormat="1" applyFont="1" applyFill="1" applyBorder="1" applyAlignment="1" applyProtection="1">
      <alignment horizontal="center"/>
      <protection locked="0"/>
    </xf>
    <xf numFmtId="0" fontId="37" fillId="6" borderId="0" xfId="0" applyFont="1" applyFill="1" applyBorder="1" applyProtection="1">
      <protection locked="0"/>
    </xf>
    <xf numFmtId="2" fontId="26" fillId="6" borderId="0" xfId="0" applyNumberFormat="1" applyFont="1" applyFill="1" applyBorder="1" applyAlignment="1" applyProtection="1">
      <alignment horizontal="center"/>
      <protection locked="0"/>
    </xf>
    <xf numFmtId="0" fontId="72" fillId="6" borderId="0" xfId="0" applyFont="1" applyFill="1" applyBorder="1" applyAlignment="1" applyProtection="1">
      <alignment horizontal="center"/>
      <protection locked="0"/>
    </xf>
    <xf numFmtId="0" fontId="36" fillId="6" borderId="0" xfId="0" applyFont="1" applyFill="1" applyBorder="1" applyProtection="1">
      <protection locked="0"/>
    </xf>
    <xf numFmtId="0" fontId="22" fillId="6" borderId="0" xfId="0" applyFont="1" applyFill="1" applyBorder="1" applyAlignment="1" applyProtection="1">
      <alignment vertical="center"/>
      <protection locked="0"/>
    </xf>
    <xf numFmtId="0" fontId="35" fillId="6" borderId="0" xfId="0" applyFont="1" applyFill="1" applyBorder="1" applyAlignment="1" applyProtection="1">
      <protection locked="0"/>
    </xf>
    <xf numFmtId="1" fontId="23" fillId="0" borderId="0" xfId="0" applyNumberFormat="1" applyFont="1" applyBorder="1" applyAlignment="1" applyProtection="1">
      <alignment horizontal="center" vertical="center"/>
    </xf>
    <xf numFmtId="0" fontId="23" fillId="0" borderId="9" xfId="0" applyFont="1" applyBorder="1" applyAlignment="1" applyProtection="1">
      <alignment horizontal="left" vertical="center"/>
    </xf>
    <xf numFmtId="0" fontId="22" fillId="0" borderId="9" xfId="0" applyFont="1" applyBorder="1" applyAlignment="1" applyProtection="1">
      <alignment vertical="center"/>
    </xf>
    <xf numFmtId="1" fontId="22" fillId="0" borderId="0" xfId="0" applyNumberFormat="1" applyFont="1" applyBorder="1" applyAlignment="1" applyProtection="1">
      <alignment horizontal="center" vertical="center"/>
    </xf>
    <xf numFmtId="0" fontId="0" fillId="0" borderId="16" xfId="0" applyFill="1" applyBorder="1" applyAlignment="1" applyProtection="1">
      <alignment horizontal="left" vertical="center"/>
    </xf>
    <xf numFmtId="0" fontId="0" fillId="0" borderId="9" xfId="0" applyBorder="1" applyAlignment="1" applyProtection="1">
      <alignment horizontal="center" vertical="center"/>
    </xf>
    <xf numFmtId="0" fontId="22" fillId="0" borderId="0" xfId="0" applyFont="1" applyFill="1" applyProtection="1">
      <protection locked="0"/>
    </xf>
    <xf numFmtId="0" fontId="22" fillId="0" borderId="0" xfId="0" applyFont="1" applyAlignment="1">
      <alignment vertical="center"/>
    </xf>
    <xf numFmtId="0" fontId="0" fillId="0" borderId="0" xfId="0" applyFont="1" applyAlignment="1">
      <alignment horizontal="left"/>
    </xf>
    <xf numFmtId="0" fontId="22" fillId="0" borderId="0" xfId="4" applyFont="1" applyAlignment="1">
      <alignment horizontal="left"/>
    </xf>
    <xf numFmtId="0" fontId="22" fillId="0" borderId="0" xfId="4" applyFont="1" applyFill="1" applyAlignment="1">
      <alignment horizontal="left"/>
    </xf>
    <xf numFmtId="167" fontId="53" fillId="2" borderId="0" xfId="0" applyNumberFormat="1" applyFont="1" applyFill="1" applyBorder="1" applyAlignment="1">
      <alignment horizontal="center"/>
    </xf>
    <xf numFmtId="167" fontId="26" fillId="2" borderId="10" xfId="0" applyNumberFormat="1" applyFont="1" applyFill="1" applyBorder="1" applyAlignment="1">
      <alignment horizontal="center"/>
    </xf>
    <xf numFmtId="0" fontId="22" fillId="2" borderId="0" xfId="0" applyFont="1" applyFill="1" applyBorder="1" applyAlignment="1">
      <alignment horizontal="center"/>
    </xf>
    <xf numFmtId="0" fontId="22" fillId="2" borderId="0" xfId="0" applyFont="1" applyFill="1" applyBorder="1" applyAlignment="1">
      <alignment horizontal="center"/>
    </xf>
    <xf numFmtId="0" fontId="26" fillId="11" borderId="2" xfId="0" applyFont="1" applyFill="1" applyBorder="1" applyAlignment="1" applyProtection="1">
      <alignment horizontal="center" vertical="center"/>
      <protection locked="0"/>
    </xf>
    <xf numFmtId="0" fontId="22"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22" fillId="0" borderId="9" xfId="0" applyFont="1" applyBorder="1" applyAlignment="1" applyProtection="1">
      <alignment horizontal="center" vertical="center"/>
    </xf>
    <xf numFmtId="0" fontId="0" fillId="0" borderId="0" xfId="0" applyProtection="1"/>
    <xf numFmtId="0" fontId="23" fillId="0" borderId="0" xfId="0" applyFont="1" applyBorder="1" applyAlignment="1" applyProtection="1">
      <alignment horizontal="left" vertical="center"/>
    </xf>
    <xf numFmtId="0" fontId="22"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22" fillId="0" borderId="9" xfId="0" applyFont="1" applyBorder="1" applyAlignment="1" applyProtection="1">
      <alignment horizontal="center" vertical="center"/>
    </xf>
    <xf numFmtId="0" fontId="0" fillId="0" borderId="0" xfId="0" applyProtection="1"/>
    <xf numFmtId="0" fontId="22" fillId="0" borderId="0" xfId="0" applyFont="1" applyProtection="1">
      <protection locked="0"/>
    </xf>
    <xf numFmtId="0" fontId="22" fillId="0" borderId="0" xfId="0" applyFont="1" applyFill="1" applyAlignment="1" applyProtection="1">
      <alignment vertical="center"/>
      <protection locked="0"/>
    </xf>
    <xf numFmtId="0" fontId="22" fillId="2" borderId="0" xfId="0" applyFont="1" applyFill="1" applyProtection="1">
      <protection locked="0"/>
    </xf>
    <xf numFmtId="0" fontId="22" fillId="2" borderId="0" xfId="0" applyFont="1" applyFill="1" applyAlignment="1" applyProtection="1">
      <alignment horizontal="center"/>
      <protection locked="0"/>
    </xf>
    <xf numFmtId="165" fontId="23" fillId="2" borderId="0" xfId="0" applyNumberFormat="1" applyFont="1" applyFill="1" applyBorder="1"/>
    <xf numFmtId="0" fontId="22" fillId="0" borderId="10" xfId="0" applyFont="1" applyBorder="1" applyAlignment="1" applyProtection="1">
      <alignment vertical="top"/>
    </xf>
    <xf numFmtId="1" fontId="0" fillId="0" borderId="10" xfId="0" applyNumberFormat="1" applyBorder="1" applyAlignment="1" applyProtection="1">
      <alignment horizontal="center" vertical="top"/>
    </xf>
    <xf numFmtId="0" fontId="0" fillId="0" borderId="0" xfId="0" applyBorder="1" applyAlignment="1" applyProtection="1">
      <alignment horizontal="right" vertical="center"/>
    </xf>
    <xf numFmtId="0" fontId="71" fillId="0" borderId="0" xfId="0" applyFont="1" applyBorder="1" applyAlignment="1" applyProtection="1">
      <alignment vertical="center"/>
    </xf>
    <xf numFmtId="1" fontId="0" fillId="0" borderId="0" xfId="0" applyNumberFormat="1" applyBorder="1" applyAlignment="1" applyProtection="1">
      <alignment horizontal="right" vertical="center"/>
    </xf>
    <xf numFmtId="0" fontId="127" fillId="2" borderId="0" xfId="0" applyFont="1" applyFill="1" applyBorder="1" applyProtection="1"/>
    <xf numFmtId="0" fontId="127" fillId="2" borderId="0" xfId="0" applyFont="1" applyFill="1" applyBorder="1" applyAlignment="1" applyProtection="1"/>
    <xf numFmtId="0" fontId="128" fillId="2" borderId="0" xfId="0" applyFont="1" applyFill="1" applyBorder="1" applyAlignment="1" applyProtection="1"/>
    <xf numFmtId="165" fontId="22" fillId="0" borderId="0" xfId="0" applyNumberFormat="1" applyFont="1" applyBorder="1" applyAlignment="1" applyProtection="1">
      <alignment horizontal="center"/>
    </xf>
    <xf numFmtId="0" fontId="0" fillId="0" borderId="10" xfId="0" applyBorder="1" applyAlignment="1" applyProtection="1">
      <alignment vertical="top"/>
    </xf>
    <xf numFmtId="0" fontId="0" fillId="0" borderId="0" xfId="0" applyFill="1" applyBorder="1" applyProtection="1">
      <protection locked="0"/>
    </xf>
    <xf numFmtId="0" fontId="0" fillId="0" borderId="12" xfId="0" applyFill="1" applyBorder="1" applyProtection="1">
      <protection locked="0"/>
    </xf>
    <xf numFmtId="0" fontId="61" fillId="2" borderId="0" xfId="0" applyFont="1" applyFill="1" applyProtection="1">
      <protection locked="0"/>
    </xf>
    <xf numFmtId="0" fontId="61" fillId="0" borderId="0" xfId="0" applyFont="1" applyFill="1" applyProtection="1">
      <protection locked="0"/>
    </xf>
    <xf numFmtId="0" fontId="61" fillId="0" borderId="0" xfId="0" applyFont="1" applyProtection="1">
      <protection locked="0"/>
    </xf>
    <xf numFmtId="0" fontId="61" fillId="0" borderId="0" xfId="0" applyFont="1" applyFill="1" applyAlignment="1" applyProtection="1">
      <alignment vertical="center"/>
      <protection locked="0"/>
    </xf>
    <xf numFmtId="0" fontId="61" fillId="6" borderId="0" xfId="0" applyFont="1" applyFill="1" applyProtection="1">
      <protection locked="0"/>
    </xf>
    <xf numFmtId="0" fontId="61" fillId="6" borderId="0" xfId="0" applyFont="1" applyFill="1" applyAlignment="1" applyProtection="1">
      <alignment horizontal="center"/>
      <protection locked="0"/>
    </xf>
    <xf numFmtId="0" fontId="61" fillId="2" borderId="0" xfId="0" applyFont="1" applyFill="1" applyAlignment="1" applyProtection="1">
      <alignment horizontal="center"/>
      <protection locked="0"/>
    </xf>
    <xf numFmtId="0" fontId="61" fillId="6" borderId="0" xfId="0" applyFont="1" applyFill="1" applyAlignment="1" applyProtection="1">
      <alignment horizontal="center" vertical="center"/>
      <protection locked="0"/>
    </xf>
    <xf numFmtId="49" fontId="61" fillId="6" borderId="0" xfId="0" applyNumberFormat="1" applyFont="1" applyFill="1" applyAlignment="1" applyProtection="1">
      <alignment horizontal="left" vertical="center"/>
      <protection locked="0"/>
    </xf>
    <xf numFmtId="0" fontId="61" fillId="6" borderId="0" xfId="0" applyFont="1" applyFill="1" applyAlignment="1" applyProtection="1">
      <alignment horizontal="right" vertical="center"/>
      <protection locked="0"/>
    </xf>
    <xf numFmtId="0" fontId="61" fillId="6" borderId="0" xfId="0" applyFont="1" applyFill="1" applyAlignment="1" applyProtection="1">
      <alignment horizontal="right"/>
      <protection locked="0"/>
    </xf>
    <xf numFmtId="0" fontId="61" fillId="6" borderId="0" xfId="0" applyFont="1" applyFill="1" applyAlignment="1" applyProtection="1">
      <alignment horizontal="center" vertical="center" wrapText="1"/>
      <protection locked="0"/>
    </xf>
    <xf numFmtId="49" fontId="61" fillId="0" borderId="0" xfId="0" applyNumberFormat="1" applyFont="1" applyFill="1" applyProtection="1">
      <protection locked="0"/>
    </xf>
    <xf numFmtId="0" fontId="71" fillId="0" borderId="0" xfId="0" applyFont="1" applyFill="1" applyProtection="1">
      <protection locked="0"/>
    </xf>
    <xf numFmtId="0" fontId="15" fillId="0" borderId="0" xfId="0" applyFont="1" applyFill="1" applyProtection="1">
      <protection locked="0"/>
    </xf>
    <xf numFmtId="0" fontId="61" fillId="6" borderId="0" xfId="0" applyFont="1" applyFill="1" applyProtection="1">
      <protection hidden="1"/>
    </xf>
    <xf numFmtId="0" fontId="26" fillId="0" borderId="20" xfId="0" applyFont="1" applyFill="1" applyBorder="1" applyAlignment="1" applyProtection="1">
      <alignment vertical="center"/>
      <protection hidden="1"/>
    </xf>
    <xf numFmtId="0" fontId="31" fillId="2" borderId="9" xfId="0" applyFont="1" applyFill="1" applyBorder="1" applyAlignment="1" applyProtection="1">
      <alignment horizontal="center" vertical="center"/>
      <protection hidden="1"/>
    </xf>
    <xf numFmtId="0" fontId="0" fillId="2" borderId="12" xfId="0" applyFill="1" applyBorder="1" applyProtection="1">
      <protection hidden="1"/>
    </xf>
    <xf numFmtId="0" fontId="0" fillId="2" borderId="0" xfId="0" applyFill="1" applyBorder="1" applyProtection="1">
      <protection hidden="1"/>
    </xf>
    <xf numFmtId="0" fontId="0" fillId="2" borderId="3" xfId="0" applyFill="1" applyBorder="1" applyAlignment="1" applyProtection="1">
      <alignment vertical="center"/>
      <protection hidden="1"/>
    </xf>
    <xf numFmtId="0" fontId="0" fillId="2" borderId="9" xfId="0" applyFill="1" applyBorder="1" applyAlignment="1" applyProtection="1">
      <alignment vertical="center"/>
      <protection hidden="1"/>
    </xf>
    <xf numFmtId="0" fontId="0" fillId="2" borderId="6" xfId="0" applyFill="1" applyBorder="1" applyAlignment="1" applyProtection="1">
      <alignment vertical="center"/>
      <protection hidden="1"/>
    </xf>
    <xf numFmtId="0" fontId="0" fillId="2" borderId="16" xfId="0" applyFill="1" applyBorder="1" applyAlignment="1" applyProtection="1">
      <alignment vertical="center"/>
      <protection hidden="1"/>
    </xf>
    <xf numFmtId="0" fontId="0" fillId="2" borderId="0" xfId="0" applyFill="1" applyBorder="1" applyAlignment="1" applyProtection="1">
      <alignment vertical="center"/>
      <protection hidden="1"/>
    </xf>
    <xf numFmtId="0" fontId="26" fillId="0" borderId="22" xfId="0" applyFont="1" applyFill="1" applyBorder="1" applyAlignment="1" applyProtection="1">
      <alignment horizontal="left" vertical="center"/>
      <protection hidden="1"/>
    </xf>
    <xf numFmtId="0" fontId="0" fillId="2" borderId="22" xfId="0" applyFill="1" applyBorder="1" applyAlignment="1" applyProtection="1">
      <alignment vertical="center"/>
      <protection hidden="1"/>
    </xf>
    <xf numFmtId="0" fontId="22" fillId="2" borderId="22" xfId="0" applyFont="1" applyFill="1" applyBorder="1" applyAlignment="1" applyProtection="1">
      <alignment vertical="center"/>
      <protection hidden="1"/>
    </xf>
    <xf numFmtId="0" fontId="0" fillId="2" borderId="22" xfId="0" applyFill="1" applyBorder="1" applyAlignment="1" applyProtection="1">
      <alignment horizontal="left" vertical="center"/>
      <protection hidden="1"/>
    </xf>
    <xf numFmtId="0" fontId="22" fillId="0" borderId="19" xfId="0" applyFont="1" applyFill="1" applyBorder="1" applyAlignment="1" applyProtection="1">
      <alignment vertical="center"/>
      <protection hidden="1"/>
    </xf>
    <xf numFmtId="0" fontId="22" fillId="0" borderId="22" xfId="0" applyFont="1" applyFill="1" applyBorder="1" applyAlignment="1" applyProtection="1">
      <alignment horizontal="left" vertical="center"/>
      <protection hidden="1"/>
    </xf>
    <xf numFmtId="0" fontId="22" fillId="6" borderId="22" xfId="0" applyFont="1" applyFill="1" applyBorder="1" applyAlignment="1" applyProtection="1">
      <alignment vertical="center"/>
      <protection hidden="1"/>
    </xf>
    <xf numFmtId="0" fontId="22" fillId="6" borderId="22" xfId="0" applyFont="1" applyFill="1" applyBorder="1" applyProtection="1">
      <protection hidden="1"/>
    </xf>
    <xf numFmtId="0" fontId="22" fillId="6" borderId="22" xfId="0" applyFont="1" applyFill="1" applyBorder="1" applyAlignment="1" applyProtection="1">
      <alignment horizontal="left" vertical="center"/>
      <protection hidden="1"/>
    </xf>
    <xf numFmtId="0" fontId="26" fillId="0" borderId="2" xfId="0" applyFont="1" applyFill="1" applyBorder="1" applyAlignment="1" applyProtection="1">
      <alignment horizontal="center" vertical="center"/>
      <protection hidden="1"/>
    </xf>
    <xf numFmtId="1" fontId="26" fillId="0" borderId="2" xfId="0" applyNumberFormat="1" applyFont="1" applyFill="1" applyBorder="1" applyAlignment="1" applyProtection="1">
      <alignment horizontal="center" vertical="center"/>
      <protection hidden="1"/>
    </xf>
    <xf numFmtId="0" fontId="22" fillId="2" borderId="0" xfId="0" applyFont="1" applyFill="1" applyBorder="1" applyAlignment="1" applyProtection="1">
      <alignment vertical="center"/>
      <protection hidden="1"/>
    </xf>
    <xf numFmtId="0" fontId="22" fillId="2" borderId="10" xfId="0" applyFont="1" applyFill="1" applyBorder="1" applyAlignment="1" applyProtection="1">
      <alignment vertical="center"/>
      <protection hidden="1"/>
    </xf>
    <xf numFmtId="0" fontId="0" fillId="2" borderId="9" xfId="0" applyFill="1" applyBorder="1" applyAlignment="1" applyProtection="1">
      <alignment horizontal="right" vertical="center"/>
      <protection hidden="1"/>
    </xf>
    <xf numFmtId="1" fontId="22" fillId="0" borderId="9" xfId="0" applyNumberFormat="1" applyFont="1" applyFill="1" applyBorder="1" applyAlignment="1" applyProtection="1">
      <alignment horizontal="right" vertical="center"/>
      <protection hidden="1"/>
    </xf>
    <xf numFmtId="0" fontId="22" fillId="2" borderId="8" xfId="0" applyFont="1" applyFill="1" applyBorder="1" applyAlignment="1" applyProtection="1">
      <alignment horizontal="center" vertical="center"/>
      <protection hidden="1"/>
    </xf>
    <xf numFmtId="0" fontId="23" fillId="2" borderId="12" xfId="0" applyFont="1" applyFill="1" applyBorder="1" applyAlignment="1" applyProtection="1">
      <alignment vertical="center"/>
      <protection hidden="1"/>
    </xf>
    <xf numFmtId="0" fontId="22" fillId="2" borderId="19" xfId="0" applyFont="1" applyFill="1" applyBorder="1" applyAlignment="1" applyProtection="1">
      <alignment vertical="center"/>
      <protection hidden="1"/>
    </xf>
    <xf numFmtId="0" fontId="22" fillId="2" borderId="22" xfId="0" applyFont="1" applyFill="1" applyBorder="1" applyAlignment="1" applyProtection="1">
      <alignment horizontal="left" vertical="center"/>
      <protection hidden="1"/>
    </xf>
    <xf numFmtId="0" fontId="22" fillId="0" borderId="22" xfId="0" applyFont="1" applyFill="1" applyBorder="1" applyProtection="1">
      <protection hidden="1"/>
    </xf>
    <xf numFmtId="0" fontId="25" fillId="2" borderId="9" xfId="0" applyFont="1" applyFill="1" applyBorder="1" applyAlignment="1" applyProtection="1">
      <alignment horizontal="center" vertical="center" wrapText="1"/>
      <protection hidden="1"/>
    </xf>
    <xf numFmtId="0" fontId="19" fillId="2" borderId="16" xfId="0" applyFont="1" applyFill="1" applyBorder="1" applyAlignment="1" applyProtection="1">
      <alignment vertical="center"/>
      <protection hidden="1"/>
    </xf>
    <xf numFmtId="0" fontId="19" fillId="2" borderId="0" xfId="0" applyFont="1" applyFill="1" applyBorder="1" applyAlignment="1" applyProtection="1">
      <alignment horizontal="left" vertical="center" wrapText="1"/>
      <protection hidden="1"/>
    </xf>
    <xf numFmtId="166" fontId="26" fillId="0" borderId="2" xfId="0" applyNumberFormat="1" applyFont="1" applyFill="1" applyBorder="1" applyAlignment="1" applyProtection="1">
      <alignment horizontal="center" vertical="center"/>
      <protection hidden="1"/>
    </xf>
    <xf numFmtId="166" fontId="26" fillId="2" borderId="2" xfId="0" applyNumberFormat="1" applyFont="1" applyFill="1" applyBorder="1" applyAlignment="1" applyProtection="1">
      <alignment horizontal="center" vertical="center"/>
      <protection hidden="1"/>
    </xf>
    <xf numFmtId="0" fontId="22" fillId="0" borderId="33" xfId="0" applyFont="1" applyFill="1" applyBorder="1" applyAlignment="1" applyProtection="1">
      <alignment vertical="center"/>
      <protection hidden="1"/>
    </xf>
    <xf numFmtId="166" fontId="22" fillId="0" borderId="33" xfId="0" applyNumberFormat="1" applyFont="1" applyFill="1" applyBorder="1" applyAlignment="1" applyProtection="1">
      <alignment horizontal="center" vertical="center"/>
      <protection hidden="1"/>
    </xf>
    <xf numFmtId="0" fontId="22" fillId="0" borderId="31" xfId="0" applyFont="1" applyFill="1" applyBorder="1" applyAlignment="1" applyProtection="1">
      <alignment horizontal="center" vertical="center"/>
      <protection hidden="1"/>
    </xf>
    <xf numFmtId="166" fontId="22" fillId="0" borderId="28" xfId="0" applyNumberFormat="1" applyFont="1" applyFill="1" applyBorder="1" applyAlignment="1" applyProtection="1">
      <alignment horizontal="center" vertical="center"/>
      <protection hidden="1"/>
    </xf>
    <xf numFmtId="0" fontId="22" fillId="0" borderId="28" xfId="0" applyFont="1" applyFill="1" applyBorder="1" applyAlignment="1" applyProtection="1">
      <alignment horizontal="center" vertical="center"/>
      <protection hidden="1"/>
    </xf>
    <xf numFmtId="0" fontId="22" fillId="0" borderId="29" xfId="0" applyFont="1" applyFill="1" applyBorder="1" applyAlignment="1" applyProtection="1">
      <alignment horizontal="center" vertical="center"/>
      <protection hidden="1"/>
    </xf>
    <xf numFmtId="0" fontId="22" fillId="0" borderId="17" xfId="0" applyFont="1" applyFill="1" applyBorder="1" applyAlignment="1" applyProtection="1">
      <alignment vertical="center"/>
      <protection hidden="1"/>
    </xf>
    <xf numFmtId="166" fontId="22" fillId="0" borderId="17" xfId="0" applyNumberFormat="1" applyFont="1" applyFill="1" applyBorder="1" applyAlignment="1" applyProtection="1">
      <alignment horizontal="center" vertical="center"/>
      <protection hidden="1"/>
    </xf>
    <xf numFmtId="0" fontId="22" fillId="0" borderId="1" xfId="0" applyFont="1" applyFill="1" applyBorder="1" applyAlignment="1" applyProtection="1">
      <alignment horizontal="center" vertical="center"/>
      <protection hidden="1"/>
    </xf>
    <xf numFmtId="166" fontId="22" fillId="0" borderId="18" xfId="0" applyNumberFormat="1" applyFont="1" applyFill="1" applyBorder="1" applyAlignment="1" applyProtection="1">
      <alignment horizontal="center" vertical="center"/>
      <protection hidden="1"/>
    </xf>
    <xf numFmtId="0" fontId="22" fillId="0" borderId="18" xfId="0" applyFont="1" applyFill="1" applyBorder="1" applyAlignment="1" applyProtection="1">
      <alignment horizontal="center" vertical="center"/>
      <protection hidden="1"/>
    </xf>
    <xf numFmtId="0" fontId="22" fillId="0" borderId="34" xfId="0" applyFont="1" applyFill="1" applyBorder="1" applyAlignment="1" applyProtection="1">
      <alignment horizontal="center" vertical="center"/>
      <protection hidden="1"/>
    </xf>
    <xf numFmtId="0" fontId="22" fillId="0" borderId="35" xfId="0" applyFont="1" applyFill="1" applyBorder="1" applyAlignment="1" applyProtection="1">
      <alignment vertical="center"/>
      <protection hidden="1"/>
    </xf>
    <xf numFmtId="166" fontId="22" fillId="0" borderId="35" xfId="0" applyNumberFormat="1" applyFont="1" applyFill="1" applyBorder="1" applyAlignment="1" applyProtection="1">
      <alignment horizontal="center" vertical="center"/>
      <protection hidden="1"/>
    </xf>
    <xf numFmtId="0" fontId="22" fillId="0" borderId="38" xfId="0" applyFont="1" applyFill="1" applyBorder="1" applyAlignment="1" applyProtection="1">
      <alignment horizontal="center" vertical="center"/>
      <protection hidden="1"/>
    </xf>
    <xf numFmtId="166" fontId="22" fillId="0" borderId="37" xfId="0" applyNumberFormat="1" applyFont="1" applyFill="1" applyBorder="1" applyAlignment="1" applyProtection="1">
      <alignment horizontal="center" vertical="center"/>
      <protection hidden="1"/>
    </xf>
    <xf numFmtId="0" fontId="22" fillId="0" borderId="37" xfId="0" applyFont="1" applyFill="1" applyBorder="1" applyAlignment="1" applyProtection="1">
      <alignment horizontal="center" vertical="center"/>
      <protection hidden="1"/>
    </xf>
    <xf numFmtId="0" fontId="22" fillId="0" borderId="36" xfId="0" applyFont="1" applyFill="1" applyBorder="1" applyAlignment="1" applyProtection="1">
      <alignment horizontal="center" vertical="center"/>
      <protection hidden="1"/>
    </xf>
    <xf numFmtId="166" fontId="23" fillId="0" borderId="33" xfId="0" applyNumberFormat="1" applyFont="1" applyFill="1" applyBorder="1" applyAlignment="1" applyProtection="1">
      <alignment horizontal="center" vertical="center"/>
      <protection hidden="1"/>
    </xf>
    <xf numFmtId="166" fontId="23" fillId="0" borderId="31" xfId="0" applyNumberFormat="1" applyFont="1" applyFill="1" applyBorder="1" applyAlignment="1" applyProtection="1">
      <alignment horizontal="center" vertical="center"/>
      <protection hidden="1"/>
    </xf>
    <xf numFmtId="166" fontId="23" fillId="0" borderId="28" xfId="0" applyNumberFormat="1" applyFont="1" applyFill="1" applyBorder="1" applyAlignment="1" applyProtection="1">
      <alignment horizontal="center" vertical="center"/>
      <protection hidden="1"/>
    </xf>
    <xf numFmtId="166" fontId="23" fillId="0" borderId="29" xfId="0" applyNumberFormat="1" applyFont="1" applyFill="1" applyBorder="1" applyAlignment="1" applyProtection="1">
      <alignment horizontal="center" vertical="center"/>
      <protection hidden="1"/>
    </xf>
    <xf numFmtId="166" fontId="23" fillId="0" borderId="17" xfId="0" applyNumberFormat="1" applyFont="1" applyFill="1" applyBorder="1" applyAlignment="1" applyProtection="1">
      <alignment horizontal="center" vertical="center"/>
      <protection hidden="1"/>
    </xf>
    <xf numFmtId="166" fontId="23" fillId="0" borderId="1" xfId="0" applyNumberFormat="1" applyFont="1" applyFill="1" applyBorder="1" applyAlignment="1" applyProtection="1">
      <alignment horizontal="center" vertical="center"/>
      <protection hidden="1"/>
    </xf>
    <xf numFmtId="166" fontId="23" fillId="0" borderId="18" xfId="0" applyNumberFormat="1" applyFont="1" applyFill="1" applyBorder="1" applyAlignment="1" applyProtection="1">
      <alignment horizontal="center" vertical="center"/>
      <protection hidden="1"/>
    </xf>
    <xf numFmtId="166" fontId="23" fillId="0" borderId="34" xfId="0" applyNumberFormat="1" applyFont="1" applyFill="1" applyBorder="1" applyAlignment="1" applyProtection="1">
      <alignment horizontal="center" vertical="center"/>
      <protection hidden="1"/>
    </xf>
    <xf numFmtId="166" fontId="22" fillId="0" borderId="1" xfId="0" applyNumberFormat="1" applyFont="1" applyFill="1" applyBorder="1" applyAlignment="1" applyProtection="1">
      <alignment horizontal="center" vertical="center"/>
      <protection hidden="1"/>
    </xf>
    <xf numFmtId="166" fontId="23" fillId="0" borderId="35" xfId="0" applyNumberFormat="1" applyFont="1" applyFill="1" applyBorder="1" applyAlignment="1" applyProtection="1">
      <alignment horizontal="center" vertical="center"/>
      <protection hidden="1"/>
    </xf>
    <xf numFmtId="166" fontId="22" fillId="0" borderId="38" xfId="0" applyNumberFormat="1" applyFont="1" applyFill="1" applyBorder="1" applyAlignment="1" applyProtection="1">
      <alignment horizontal="center" vertical="center"/>
      <protection hidden="1"/>
    </xf>
    <xf numFmtId="166" fontId="23" fillId="0" borderId="13" xfId="0" applyNumberFormat="1" applyFont="1" applyFill="1" applyBorder="1" applyAlignment="1" applyProtection="1">
      <alignment horizontal="center" vertical="center"/>
      <protection hidden="1"/>
    </xf>
    <xf numFmtId="166" fontId="22" fillId="0" borderId="36" xfId="0" applyNumberFormat="1" applyFont="1" applyFill="1" applyBorder="1" applyAlignment="1" applyProtection="1">
      <alignment horizontal="center" vertical="center"/>
      <protection hidden="1"/>
    </xf>
    <xf numFmtId="0" fontId="26" fillId="0" borderId="13" xfId="0" applyFont="1" applyFill="1" applyBorder="1" applyAlignment="1" applyProtection="1">
      <alignment horizontal="left" vertical="center"/>
      <protection hidden="1"/>
    </xf>
    <xf numFmtId="0" fontId="59" fillId="0" borderId="15" xfId="0"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vertical="center"/>
      <protection hidden="1"/>
    </xf>
    <xf numFmtId="166" fontId="26" fillId="0" borderId="14" xfId="0" applyNumberFormat="1" applyFont="1" applyFill="1" applyBorder="1" applyAlignment="1" applyProtection="1">
      <alignment horizontal="center" vertical="center"/>
      <protection hidden="1"/>
    </xf>
    <xf numFmtId="0" fontId="26" fillId="0" borderId="14" xfId="0" applyFont="1" applyFill="1" applyBorder="1" applyAlignment="1" applyProtection="1">
      <alignment horizontal="center" vertical="center"/>
      <protection hidden="1"/>
    </xf>
    <xf numFmtId="1" fontId="26" fillId="0" borderId="39" xfId="0" applyNumberFormat="1" applyFont="1" applyFill="1" applyBorder="1" applyAlignment="1" applyProtection="1">
      <alignment horizontal="center" vertical="center"/>
      <protection hidden="1"/>
    </xf>
    <xf numFmtId="1" fontId="26" fillId="0" borderId="15" xfId="0" applyNumberFormat="1" applyFont="1" applyFill="1" applyBorder="1" applyAlignment="1" applyProtection="1">
      <alignment horizontal="center" vertical="center"/>
      <protection hidden="1"/>
    </xf>
    <xf numFmtId="0" fontId="22" fillId="0" borderId="13" xfId="0" applyFont="1" applyFill="1" applyBorder="1" applyAlignment="1" applyProtection="1">
      <alignment vertical="center"/>
      <protection hidden="1"/>
    </xf>
    <xf numFmtId="166" fontId="22" fillId="0" borderId="13" xfId="0" applyNumberFormat="1" applyFont="1" applyFill="1" applyBorder="1" applyAlignment="1" applyProtection="1">
      <alignment horizontal="center" vertical="center"/>
      <protection hidden="1"/>
    </xf>
    <xf numFmtId="0" fontId="22" fillId="0" borderId="39" xfId="0" applyFont="1" applyFill="1" applyBorder="1" applyAlignment="1" applyProtection="1">
      <alignment horizontal="center" vertical="center"/>
      <protection hidden="1"/>
    </xf>
    <xf numFmtId="166" fontId="22" fillId="0" borderId="14" xfId="0" applyNumberFormat="1" applyFont="1" applyFill="1" applyBorder="1" applyAlignment="1" applyProtection="1">
      <alignment horizontal="center" vertical="center"/>
      <protection hidden="1"/>
    </xf>
    <xf numFmtId="0" fontId="22" fillId="0" borderId="14" xfId="0" applyFont="1" applyFill="1" applyBorder="1" applyAlignment="1" applyProtection="1">
      <alignment horizontal="center" vertical="center"/>
      <protection hidden="1"/>
    </xf>
    <xf numFmtId="0" fontId="22" fillId="0" borderId="15" xfId="0" applyFont="1" applyFill="1" applyBorder="1" applyAlignment="1" applyProtection="1">
      <alignment horizontal="center" vertical="center"/>
      <protection hidden="1"/>
    </xf>
    <xf numFmtId="166" fontId="23" fillId="0" borderId="37" xfId="0" applyNumberFormat="1" applyFont="1" applyFill="1" applyBorder="1" applyAlignment="1" applyProtection="1">
      <alignment horizontal="center" vertical="center"/>
      <protection hidden="1"/>
    </xf>
    <xf numFmtId="166" fontId="26" fillId="0" borderId="39" xfId="0" applyNumberFormat="1" applyFont="1" applyFill="1" applyBorder="1" applyAlignment="1" applyProtection="1">
      <alignment horizontal="center" vertical="center"/>
      <protection hidden="1"/>
    </xf>
    <xf numFmtId="0" fontId="22" fillId="2" borderId="0" xfId="0" applyFont="1" applyFill="1" applyBorder="1" applyProtection="1">
      <protection hidden="1"/>
    </xf>
    <xf numFmtId="0" fontId="81" fillId="2" borderId="0" xfId="0" applyFont="1" applyFill="1" applyBorder="1" applyProtection="1">
      <protection hidden="1"/>
    </xf>
    <xf numFmtId="0" fontId="82" fillId="2" borderId="0" xfId="0" applyFont="1" applyFill="1" applyBorder="1" applyAlignment="1" applyProtection="1">
      <alignment horizontal="center"/>
      <protection hidden="1"/>
    </xf>
    <xf numFmtId="0" fontId="38" fillId="2" borderId="0" xfId="0" applyFont="1" applyFill="1" applyBorder="1" applyAlignment="1" applyProtection="1">
      <alignment horizontal="center"/>
      <protection hidden="1"/>
    </xf>
    <xf numFmtId="0" fontId="43" fillId="2" borderId="0" xfId="0" applyFont="1" applyFill="1" applyBorder="1" applyProtection="1">
      <protection hidden="1"/>
    </xf>
    <xf numFmtId="0" fontId="80" fillId="2" borderId="0" xfId="0" applyFont="1" applyFill="1" applyBorder="1" applyProtection="1">
      <protection hidden="1"/>
    </xf>
    <xf numFmtId="0" fontId="30" fillId="2" borderId="0" xfId="0" applyFont="1" applyFill="1" applyBorder="1" applyAlignment="1" applyProtection="1">
      <alignment horizontal="center"/>
      <protection hidden="1"/>
    </xf>
    <xf numFmtId="0" fontId="26" fillId="2" borderId="0" xfId="0" applyFont="1" applyFill="1" applyBorder="1" applyAlignment="1" applyProtection="1">
      <alignment horizontal="center"/>
      <protection hidden="1"/>
    </xf>
    <xf numFmtId="0" fontId="22" fillId="0" borderId="0" xfId="0" applyFont="1" applyProtection="1">
      <protection hidden="1"/>
    </xf>
    <xf numFmtId="0" fontId="53" fillId="2" borderId="0" xfId="0" applyFont="1" applyFill="1" applyBorder="1" applyAlignment="1" applyProtection="1">
      <protection hidden="1"/>
    </xf>
    <xf numFmtId="0" fontId="86" fillId="0" borderId="0" xfId="0" applyFont="1" applyProtection="1">
      <protection hidden="1"/>
    </xf>
    <xf numFmtId="0" fontId="30" fillId="2" borderId="0" xfId="0" applyFont="1" applyFill="1" applyBorder="1" applyProtection="1">
      <protection hidden="1"/>
    </xf>
    <xf numFmtId="0" fontId="29" fillId="2" borderId="0" xfId="0" applyFont="1" applyFill="1" applyBorder="1" applyProtection="1">
      <protection hidden="1"/>
    </xf>
    <xf numFmtId="0" fontId="30" fillId="2" borderId="0" xfId="0" applyFont="1" applyFill="1" applyProtection="1">
      <protection hidden="1"/>
    </xf>
    <xf numFmtId="0" fontId="22" fillId="2" borderId="0" xfId="0" applyFont="1" applyFill="1" applyProtection="1">
      <protection hidden="1"/>
    </xf>
    <xf numFmtId="0" fontId="30" fillId="2" borderId="0" xfId="0" applyFont="1" applyFill="1" applyBorder="1" applyAlignment="1" applyProtection="1">
      <alignment horizontal="left"/>
      <protection hidden="1"/>
    </xf>
    <xf numFmtId="0" fontId="29" fillId="2" borderId="0" xfId="0" applyFont="1" applyFill="1" applyProtection="1">
      <protection hidden="1"/>
    </xf>
    <xf numFmtId="0" fontId="22" fillId="0" borderId="0" xfId="0" applyFont="1" applyFill="1" applyProtection="1">
      <protection hidden="1"/>
    </xf>
    <xf numFmtId="0" fontId="0" fillId="0" borderId="0" xfId="0" applyFill="1" applyProtection="1">
      <protection hidden="1"/>
    </xf>
    <xf numFmtId="0" fontId="61" fillId="6" borderId="0" xfId="0" applyFont="1" applyFill="1" applyAlignment="1" applyProtection="1">
      <alignment vertical="center"/>
      <protection hidden="1"/>
    </xf>
    <xf numFmtId="0" fontId="61" fillId="6" borderId="0" xfId="0" applyFont="1" applyFill="1" applyBorder="1" applyProtection="1">
      <protection hidden="1"/>
    </xf>
    <xf numFmtId="0" fontId="61" fillId="0" borderId="0" xfId="0" applyFont="1" applyFill="1" applyProtection="1">
      <protection hidden="1"/>
    </xf>
    <xf numFmtId="0" fontId="61" fillId="2" borderId="0" xfId="0" applyFont="1" applyFill="1" applyProtection="1">
      <protection hidden="1"/>
    </xf>
    <xf numFmtId="0" fontId="61" fillId="6" borderId="0" xfId="0" applyFont="1" applyFill="1" applyAlignment="1" applyProtection="1">
      <alignment horizontal="center"/>
      <protection hidden="1"/>
    </xf>
    <xf numFmtId="0" fontId="61" fillId="2" borderId="0" xfId="0" applyFont="1" applyFill="1" applyAlignment="1" applyProtection="1">
      <alignment horizontal="center"/>
      <protection hidden="1"/>
    </xf>
    <xf numFmtId="0" fontId="61" fillId="0" borderId="0" xfId="0" applyFont="1" applyProtection="1">
      <protection hidden="1"/>
    </xf>
    <xf numFmtId="165" fontId="61" fillId="6" borderId="0" xfId="0" applyNumberFormat="1" applyFont="1" applyFill="1" applyAlignment="1" applyProtection="1">
      <alignment vertical="center"/>
      <protection hidden="1"/>
    </xf>
    <xf numFmtId="0" fontId="61" fillId="6" borderId="0" xfId="0" applyFont="1" applyFill="1" applyAlignment="1" applyProtection="1">
      <alignment horizontal="center" vertical="center"/>
      <protection hidden="1"/>
    </xf>
    <xf numFmtId="49" fontId="61" fillId="6" borderId="0" xfId="0" applyNumberFormat="1" applyFont="1" applyFill="1" applyAlignment="1" applyProtection="1">
      <alignment horizontal="left" vertical="center"/>
      <protection hidden="1"/>
    </xf>
    <xf numFmtId="0" fontId="61" fillId="2" borderId="0" xfId="0" applyFont="1" applyFill="1" applyAlignment="1" applyProtection="1">
      <alignment horizontal="center" vertical="center"/>
      <protection hidden="1"/>
    </xf>
    <xf numFmtId="0" fontId="61" fillId="2" borderId="0" xfId="0" applyFont="1" applyFill="1" applyAlignment="1" applyProtection="1">
      <alignment vertical="center"/>
      <protection hidden="1"/>
    </xf>
    <xf numFmtId="0" fontId="61" fillId="0" borderId="0" xfId="0" applyFont="1" applyFill="1" applyAlignment="1" applyProtection="1">
      <alignment vertical="center"/>
      <protection hidden="1"/>
    </xf>
    <xf numFmtId="0" fontId="61" fillId="6" borderId="0" xfId="0" applyFont="1" applyFill="1" applyBorder="1" applyAlignment="1" applyProtection="1">
      <alignment horizontal="left"/>
      <protection hidden="1"/>
    </xf>
    <xf numFmtId="0" fontId="91" fillId="6" borderId="0" xfId="0" applyFont="1" applyFill="1" applyBorder="1" applyAlignment="1" applyProtection="1">
      <alignment horizontal="center"/>
      <protection hidden="1"/>
    </xf>
    <xf numFmtId="0" fontId="130" fillId="0" borderId="0" xfId="0" applyFont="1" applyAlignment="1" applyProtection="1">
      <alignment vertical="center"/>
      <protection hidden="1"/>
    </xf>
    <xf numFmtId="0" fontId="61" fillId="6" borderId="0" xfId="0" applyFont="1" applyFill="1" applyBorder="1" applyAlignment="1" applyProtection="1">
      <alignment horizontal="left" vertical="center"/>
      <protection hidden="1"/>
    </xf>
    <xf numFmtId="0" fontId="61" fillId="6" borderId="0" xfId="0" applyFont="1" applyFill="1" applyBorder="1" applyAlignment="1" applyProtection="1">
      <alignment horizontal="center" vertical="center"/>
      <protection hidden="1"/>
    </xf>
    <xf numFmtId="1" fontId="61" fillId="6" borderId="0" xfId="0" applyNumberFormat="1" applyFont="1" applyFill="1" applyAlignment="1" applyProtection="1">
      <alignment horizontal="center" vertical="center"/>
      <protection hidden="1"/>
    </xf>
    <xf numFmtId="0" fontId="61" fillId="0" borderId="0" xfId="0" applyFont="1" applyFill="1" applyAlignment="1" applyProtection="1">
      <alignment horizontal="center" vertical="center"/>
      <protection hidden="1"/>
    </xf>
    <xf numFmtId="2" fontId="61" fillId="6" borderId="0" xfId="0" applyNumberFormat="1" applyFont="1" applyFill="1" applyProtection="1">
      <protection hidden="1"/>
    </xf>
    <xf numFmtId="0" fontId="91" fillId="6" borderId="0" xfId="0" applyFont="1" applyFill="1" applyAlignment="1" applyProtection="1">
      <alignment horizontal="left" vertical="center"/>
      <protection hidden="1"/>
    </xf>
    <xf numFmtId="0" fontId="61" fillId="6" borderId="0" xfId="0" applyFont="1" applyFill="1" applyAlignment="1" applyProtection="1">
      <alignment horizontal="right" vertical="center"/>
      <protection hidden="1"/>
    </xf>
    <xf numFmtId="0" fontId="61" fillId="6" borderId="0" xfId="0" applyFont="1" applyFill="1" applyBorder="1" applyAlignment="1" applyProtection="1">
      <alignment horizontal="center"/>
      <protection hidden="1"/>
    </xf>
    <xf numFmtId="0" fontId="61" fillId="6" borderId="0" xfId="0" applyFont="1" applyFill="1" applyAlignment="1" applyProtection="1">
      <alignment horizontal="right"/>
      <protection hidden="1"/>
    </xf>
    <xf numFmtId="0" fontId="91" fillId="6" borderId="0" xfId="0" applyFont="1" applyFill="1" applyAlignment="1" applyProtection="1">
      <alignment horizontal="center"/>
      <protection hidden="1"/>
    </xf>
    <xf numFmtId="0" fontId="91" fillId="6" borderId="0" xfId="0" applyFont="1" applyFill="1" applyProtection="1">
      <protection hidden="1"/>
    </xf>
    <xf numFmtId="1" fontId="61" fillId="6" borderId="0" xfId="0" applyNumberFormat="1" applyFont="1" applyFill="1" applyAlignment="1" applyProtection="1">
      <alignment horizontal="center"/>
      <protection hidden="1"/>
    </xf>
    <xf numFmtId="1" fontId="61" fillId="6" borderId="0" xfId="0" applyNumberFormat="1" applyFont="1" applyFill="1" applyBorder="1" applyAlignment="1" applyProtection="1">
      <alignment horizontal="center" vertical="center"/>
      <protection hidden="1"/>
    </xf>
    <xf numFmtId="1" fontId="61" fillId="6" borderId="0" xfId="0" applyNumberFormat="1" applyFont="1" applyFill="1" applyProtection="1">
      <protection hidden="1"/>
    </xf>
    <xf numFmtId="1" fontId="61" fillId="6" borderId="0" xfId="0" applyNumberFormat="1" applyFont="1" applyFill="1" applyBorder="1" applyAlignment="1" applyProtection="1">
      <alignment horizontal="center"/>
      <protection hidden="1"/>
    </xf>
    <xf numFmtId="0" fontId="61" fillId="6" borderId="0" xfId="0" applyFont="1" applyFill="1" applyBorder="1" applyAlignment="1" applyProtection="1">
      <alignment horizontal="right"/>
      <protection hidden="1"/>
    </xf>
    <xf numFmtId="0" fontId="91" fillId="6" borderId="0" xfId="0" applyFont="1" applyFill="1" applyBorder="1" applyAlignment="1" applyProtection="1">
      <alignment horizontal="center" vertical="center"/>
      <protection hidden="1"/>
    </xf>
    <xf numFmtId="0" fontId="91" fillId="6" borderId="0" xfId="0" applyFont="1" applyFill="1" applyBorder="1" applyAlignment="1" applyProtection="1">
      <alignment horizontal="left"/>
      <protection hidden="1"/>
    </xf>
    <xf numFmtId="0" fontId="91" fillId="2" borderId="0" xfId="0" applyFont="1" applyFill="1" applyProtection="1">
      <protection hidden="1"/>
    </xf>
    <xf numFmtId="0" fontId="61" fillId="0" borderId="0" xfId="0" applyFont="1" applyFill="1" applyBorder="1" applyProtection="1">
      <protection hidden="1"/>
    </xf>
    <xf numFmtId="1" fontId="61" fillId="0" borderId="0" xfId="0" applyNumberFormat="1" applyFont="1" applyFill="1" applyProtection="1">
      <protection hidden="1"/>
    </xf>
    <xf numFmtId="0" fontId="91" fillId="0" borderId="0" xfId="0" applyFont="1" applyFill="1" applyProtection="1">
      <protection hidden="1"/>
    </xf>
    <xf numFmtId="0" fontId="61" fillId="0" borderId="0" xfId="0" applyFont="1" applyFill="1" applyAlignment="1" applyProtection="1">
      <alignment horizontal="center"/>
      <protection hidden="1"/>
    </xf>
    <xf numFmtId="0" fontId="91" fillId="0" borderId="0" xfId="0" applyFont="1" applyFill="1" applyAlignment="1" applyProtection="1">
      <alignment horizontal="center"/>
      <protection hidden="1"/>
    </xf>
    <xf numFmtId="166" fontId="61" fillId="0" borderId="0" xfId="0" applyNumberFormat="1" applyFont="1" applyFill="1" applyAlignment="1" applyProtection="1">
      <alignment horizontal="center" vertical="center"/>
      <protection hidden="1"/>
    </xf>
    <xf numFmtId="0" fontId="61" fillId="0" borderId="0" xfId="0" applyFont="1" applyFill="1" applyBorder="1" applyAlignment="1" applyProtection="1">
      <alignment horizontal="left"/>
      <protection hidden="1"/>
    </xf>
    <xf numFmtId="1" fontId="61" fillId="0" borderId="0" xfId="0" applyNumberFormat="1" applyFont="1" applyFill="1" applyAlignment="1" applyProtection="1">
      <alignment horizontal="center" vertical="center"/>
      <protection hidden="1"/>
    </xf>
    <xf numFmtId="1" fontId="61" fillId="0" borderId="0" xfId="0" applyNumberFormat="1" applyFont="1" applyFill="1" applyAlignment="1" applyProtection="1">
      <alignment horizontal="center"/>
      <protection hidden="1"/>
    </xf>
    <xf numFmtId="0" fontId="61" fillId="0" borderId="0" xfId="0" applyFont="1" applyFill="1" applyAlignment="1" applyProtection="1">
      <alignment horizontal="left"/>
      <protection hidden="1"/>
    </xf>
    <xf numFmtId="0" fontId="91" fillId="0" borderId="0" xfId="0" applyFont="1" applyFill="1" applyAlignment="1" applyProtection="1">
      <alignment horizontal="center" vertical="center"/>
      <protection hidden="1"/>
    </xf>
    <xf numFmtId="0" fontId="91" fillId="0" borderId="0" xfId="0" applyFont="1" applyFill="1" applyBorder="1" applyAlignment="1" applyProtection="1">
      <alignment horizontal="left"/>
      <protection hidden="1"/>
    </xf>
    <xf numFmtId="0" fontId="61" fillId="6" borderId="0" xfId="0" applyFont="1" applyFill="1" applyAlignment="1" applyProtection="1">
      <alignment horizontal="left" vertical="center"/>
      <protection hidden="1"/>
    </xf>
    <xf numFmtId="0" fontId="61" fillId="0" borderId="0" xfId="0" applyFont="1" applyAlignment="1" applyProtection="1">
      <alignment horizontal="center" vertical="center"/>
      <protection hidden="1"/>
    </xf>
    <xf numFmtId="0" fontId="131" fillId="6" borderId="0" xfId="0" applyFont="1" applyFill="1" applyProtection="1">
      <protection hidden="1"/>
    </xf>
    <xf numFmtId="0" fontId="123" fillId="6" borderId="0" xfId="0" applyFont="1" applyFill="1" applyAlignment="1" applyProtection="1">
      <alignment vertical="top" wrapText="1"/>
      <protection hidden="1"/>
    </xf>
    <xf numFmtId="0" fontId="61" fillId="6" borderId="0" xfId="0" applyFont="1" applyFill="1" applyAlignment="1" applyProtection="1">
      <alignment horizontal="left" vertical="top"/>
      <protection hidden="1"/>
    </xf>
    <xf numFmtId="0" fontId="61" fillId="6" borderId="0" xfId="0" applyFont="1" applyFill="1" applyAlignment="1" applyProtection="1">
      <alignment vertical="top"/>
      <protection hidden="1"/>
    </xf>
    <xf numFmtId="1" fontId="61" fillId="6" borderId="0" xfId="0" applyNumberFormat="1" applyFont="1" applyFill="1" applyAlignment="1" applyProtection="1">
      <alignment horizontal="center" vertical="top"/>
      <protection hidden="1"/>
    </xf>
    <xf numFmtId="0" fontId="61" fillId="0" borderId="0" xfId="0" applyFont="1" applyFill="1" applyAlignment="1" applyProtection="1">
      <alignment horizontal="left" vertical="center"/>
      <protection hidden="1"/>
    </xf>
    <xf numFmtId="0" fontId="61" fillId="6" borderId="0" xfId="0" applyFont="1" applyFill="1" applyAlignment="1" applyProtection="1">
      <alignment horizontal="center" vertical="center" wrapText="1"/>
      <protection hidden="1"/>
    </xf>
    <xf numFmtId="1" fontId="61" fillId="6" borderId="0" xfId="0" applyNumberFormat="1" applyFont="1" applyFill="1" applyAlignment="1" applyProtection="1">
      <alignment horizontal="left" vertical="top"/>
      <protection hidden="1"/>
    </xf>
    <xf numFmtId="0" fontId="123" fillId="6" borderId="0" xfId="0" applyFont="1" applyFill="1" applyAlignment="1" applyProtection="1">
      <alignment horizontal="center" vertical="top" wrapText="1"/>
      <protection hidden="1"/>
    </xf>
    <xf numFmtId="0" fontId="61" fillId="0" borderId="0" xfId="0" applyFont="1" applyFill="1" applyBorder="1" applyAlignment="1" applyProtection="1">
      <alignment horizontal="center"/>
      <protection hidden="1"/>
    </xf>
    <xf numFmtId="0" fontId="61" fillId="6" borderId="0" xfId="0" applyFont="1" applyFill="1" applyBorder="1" applyAlignment="1" applyProtection="1">
      <alignment horizontal="center" vertical="center" wrapText="1"/>
      <protection hidden="1"/>
    </xf>
    <xf numFmtId="1" fontId="61" fillId="6" borderId="0" xfId="0" applyNumberFormat="1" applyFont="1" applyFill="1" applyBorder="1" applyAlignment="1" applyProtection="1">
      <alignment horizontal="left" vertical="top"/>
      <protection hidden="1"/>
    </xf>
    <xf numFmtId="0" fontId="123" fillId="6" borderId="0" xfId="0" applyFont="1" applyFill="1" applyBorder="1" applyAlignment="1" applyProtection="1">
      <alignment vertical="top" wrapText="1"/>
      <protection hidden="1"/>
    </xf>
    <xf numFmtId="174" fontId="61" fillId="6" borderId="0" xfId="0" applyNumberFormat="1" applyFont="1" applyFill="1" applyBorder="1" applyAlignment="1" applyProtection="1">
      <alignment horizontal="left" vertical="top"/>
      <protection hidden="1"/>
    </xf>
    <xf numFmtId="0" fontId="132" fillId="6" borderId="0" xfId="0" applyFont="1" applyFill="1" applyBorder="1" applyAlignment="1" applyProtection="1">
      <alignment horizontal="center" vertical="center"/>
      <protection hidden="1"/>
    </xf>
    <xf numFmtId="1" fontId="61" fillId="6" borderId="0" xfId="0" applyNumberFormat="1" applyFont="1" applyFill="1" applyBorder="1" applyAlignment="1" applyProtection="1">
      <alignment horizontal="center" vertical="center" wrapText="1"/>
      <protection hidden="1"/>
    </xf>
    <xf numFmtId="0" fontId="61" fillId="6" borderId="0" xfId="0" applyNumberFormat="1" applyFont="1" applyFill="1" applyBorder="1" applyAlignment="1" applyProtection="1">
      <alignment horizontal="left" vertical="top"/>
      <protection hidden="1"/>
    </xf>
    <xf numFmtId="0" fontId="61" fillId="6" borderId="0" xfId="0" applyFont="1" applyFill="1" applyBorder="1" applyAlignment="1" applyProtection="1">
      <alignment horizontal="left" vertical="center" wrapText="1"/>
      <protection hidden="1"/>
    </xf>
    <xf numFmtId="1" fontId="61" fillId="6" borderId="0" xfId="0" applyNumberFormat="1" applyFont="1" applyFill="1" applyAlignment="1" applyProtection="1">
      <alignment horizontal="center" vertical="center" wrapText="1"/>
      <protection hidden="1"/>
    </xf>
    <xf numFmtId="0" fontId="61" fillId="0" borderId="0" xfId="0" applyNumberFormat="1" applyFont="1" applyFill="1" applyBorder="1" applyAlignment="1" applyProtection="1">
      <alignment horizontal="center" vertical="center"/>
      <protection hidden="1"/>
    </xf>
    <xf numFmtId="0" fontId="123" fillId="6" borderId="0" xfId="0" applyFont="1" applyFill="1" applyBorder="1" applyAlignment="1" applyProtection="1">
      <alignment horizontal="center" vertical="top" wrapText="1"/>
      <protection hidden="1"/>
    </xf>
    <xf numFmtId="0" fontId="61" fillId="6" borderId="0" xfId="0" applyFont="1" applyFill="1" applyBorder="1" applyAlignment="1" applyProtection="1">
      <alignment vertical="top" wrapText="1"/>
      <protection hidden="1"/>
    </xf>
    <xf numFmtId="0" fontId="123" fillId="6" borderId="0" xfId="0" applyFont="1" applyFill="1" applyBorder="1" applyAlignment="1" applyProtection="1">
      <alignment horizontal="left" vertical="top"/>
      <protection hidden="1"/>
    </xf>
    <xf numFmtId="0" fontId="61" fillId="0" borderId="0" xfId="0" applyFont="1" applyFill="1" applyBorder="1" applyAlignment="1" applyProtection="1">
      <alignment horizontal="center" vertical="center"/>
      <protection hidden="1"/>
    </xf>
    <xf numFmtId="0" fontId="61" fillId="6" borderId="0" xfId="0" applyFont="1" applyFill="1" applyBorder="1" applyAlignment="1" applyProtection="1">
      <alignment horizontal="center" vertical="top"/>
      <protection hidden="1"/>
    </xf>
    <xf numFmtId="1" fontId="61" fillId="6" borderId="0" xfId="0" applyNumberFormat="1" applyFont="1" applyFill="1" applyBorder="1" applyAlignment="1" applyProtection="1">
      <alignment horizontal="left" vertical="top" wrapText="1"/>
      <protection hidden="1"/>
    </xf>
    <xf numFmtId="0" fontId="61" fillId="6" borderId="0" xfId="0" applyFont="1" applyFill="1" applyAlignment="1" applyProtection="1">
      <alignment horizontal="left" vertical="top" wrapText="1"/>
      <protection hidden="1"/>
    </xf>
    <xf numFmtId="0" fontId="132" fillId="6" borderId="0" xfId="0" applyFont="1" applyFill="1" applyAlignment="1" applyProtection="1">
      <alignment horizontal="center" vertical="center"/>
      <protection hidden="1"/>
    </xf>
    <xf numFmtId="49" fontId="61" fillId="0" borderId="0" xfId="0" applyNumberFormat="1" applyFont="1" applyFill="1" applyProtection="1">
      <protection hidden="1"/>
    </xf>
    <xf numFmtId="0" fontId="31" fillId="2" borderId="0" xfId="0" applyFont="1" applyFill="1" applyBorder="1" applyAlignment="1" applyProtection="1">
      <alignment horizontal="center" vertical="center"/>
      <protection hidden="1"/>
    </xf>
    <xf numFmtId="0" fontId="22" fillId="0" borderId="29" xfId="0" applyFont="1" applyFill="1" applyBorder="1" applyAlignment="1" applyProtection="1">
      <alignment horizontal="left"/>
      <protection hidden="1"/>
    </xf>
    <xf numFmtId="0" fontId="22" fillId="0" borderId="34" xfId="0" applyFont="1" applyFill="1" applyBorder="1" applyAlignment="1" applyProtection="1">
      <alignment horizontal="left"/>
      <protection hidden="1"/>
    </xf>
    <xf numFmtId="0" fontId="22" fillId="0" borderId="36" xfId="0" applyFont="1" applyFill="1" applyBorder="1" applyAlignment="1" applyProtection="1">
      <alignment horizontal="left"/>
      <protection hidden="1"/>
    </xf>
    <xf numFmtId="0" fontId="22" fillId="0" borderId="28" xfId="0" applyFont="1" applyFill="1" applyBorder="1" applyAlignment="1" applyProtection="1">
      <alignment horizontal="left"/>
      <protection hidden="1"/>
    </xf>
    <xf numFmtId="0" fontId="22" fillId="0" borderId="18" xfId="0" applyFont="1" applyFill="1" applyBorder="1" applyAlignment="1" applyProtection="1">
      <alignment horizontal="left"/>
      <protection hidden="1"/>
    </xf>
    <xf numFmtId="0" fontId="22" fillId="0" borderId="14" xfId="0" applyFont="1" applyFill="1" applyBorder="1" applyAlignment="1" applyProtection="1">
      <alignment horizontal="left"/>
      <protection hidden="1"/>
    </xf>
    <xf numFmtId="0" fontId="22" fillId="2" borderId="22" xfId="0" applyFont="1" applyFill="1" applyBorder="1" applyAlignment="1" applyProtection="1">
      <alignment horizontal="left"/>
      <protection hidden="1"/>
    </xf>
    <xf numFmtId="0" fontId="22" fillId="2" borderId="23" xfId="0" applyFont="1" applyFill="1" applyBorder="1" applyAlignment="1" applyProtection="1">
      <protection hidden="1"/>
    </xf>
    <xf numFmtId="0" fontId="22" fillId="2" borderId="22" xfId="0" applyFont="1" applyFill="1" applyBorder="1" applyAlignment="1" applyProtection="1">
      <protection hidden="1"/>
    </xf>
    <xf numFmtId="166" fontId="61" fillId="6" borderId="0" xfId="0" applyNumberFormat="1" applyFont="1" applyFill="1" applyAlignment="1" applyProtection="1">
      <alignment horizontal="center" vertical="center"/>
      <protection hidden="1"/>
    </xf>
    <xf numFmtId="0" fontId="91" fillId="6" borderId="0" xfId="0" applyFont="1" applyFill="1" applyAlignment="1" applyProtection="1">
      <alignment horizontal="center" vertical="center"/>
      <protection hidden="1"/>
    </xf>
    <xf numFmtId="0" fontId="0" fillId="0" borderId="0" xfId="0" applyProtection="1"/>
    <xf numFmtId="0" fontId="104" fillId="0" borderId="0" xfId="0" applyFont="1"/>
    <xf numFmtId="0" fontId="86" fillId="0" borderId="0" xfId="0" applyFont="1"/>
    <xf numFmtId="0" fontId="22" fillId="0" borderId="0" xfId="0" applyFont="1" applyBorder="1" applyAlignment="1" applyProtection="1">
      <alignment horizontal="center" vertical="center"/>
    </xf>
    <xf numFmtId="0" fontId="0" fillId="0" borderId="0" xfId="0" applyProtection="1"/>
    <xf numFmtId="0" fontId="22" fillId="0" borderId="0" xfId="0" applyFont="1" applyBorder="1" applyAlignment="1" applyProtection="1">
      <alignment horizontal="center" vertical="center"/>
    </xf>
    <xf numFmtId="0" fontId="0" fillId="0" borderId="0" xfId="0" applyProtection="1"/>
    <xf numFmtId="0" fontId="22" fillId="0" borderId="0" xfId="0" applyFont="1" applyAlignment="1" applyProtection="1">
      <alignment horizontal="left" vertical="top" wrapText="1"/>
    </xf>
    <xf numFmtId="0" fontId="0" fillId="0" borderId="0" xfId="0" applyAlignment="1" applyProtection="1">
      <alignment horizontal="left" vertical="top" wrapText="1"/>
    </xf>
    <xf numFmtId="0" fontId="22" fillId="0" borderId="0" xfId="0" applyFont="1" applyAlignment="1" applyProtection="1">
      <alignment horizontal="left" vertical="center"/>
    </xf>
    <xf numFmtId="2" fontId="0" fillId="0" borderId="0" xfId="0" applyNumberFormat="1" applyAlignment="1" applyProtection="1">
      <alignment horizontal="center" vertical="center"/>
    </xf>
    <xf numFmtId="0" fontId="22" fillId="0" borderId="0" xfId="0" applyFont="1" applyAlignment="1" applyProtection="1">
      <alignment vertical="center"/>
    </xf>
    <xf numFmtId="0" fontId="0" fillId="0" borderId="0" xfId="0" applyAlignment="1" applyProtection="1">
      <alignment horizontal="center" vertical="center"/>
    </xf>
    <xf numFmtId="0" fontId="22" fillId="0" borderId="0" xfId="0" applyFont="1" applyBorder="1" applyAlignment="1" applyProtection="1">
      <alignment horizontal="center" vertical="center"/>
    </xf>
    <xf numFmtId="0" fontId="0" fillId="0" borderId="0" xfId="0" applyProtection="1"/>
    <xf numFmtId="0" fontId="22" fillId="0" borderId="0" xfId="0" applyFont="1" applyAlignment="1" applyProtection="1">
      <alignment horizontal="left" vertical="top"/>
    </xf>
    <xf numFmtId="0" fontId="22" fillId="0" borderId="0" xfId="0" applyFont="1" applyFill="1" applyBorder="1" applyAlignment="1" applyProtection="1">
      <alignment vertical="top"/>
    </xf>
    <xf numFmtId="0" fontId="22" fillId="0" borderId="0" xfId="0" applyFont="1" applyAlignment="1" applyProtection="1">
      <alignment vertical="top"/>
    </xf>
    <xf numFmtId="0" fontId="135" fillId="0" borderId="0" xfId="0" applyFont="1"/>
    <xf numFmtId="2" fontId="71" fillId="6" borderId="0" xfId="0" applyNumberFormat="1" applyFont="1" applyFill="1" applyAlignment="1" applyProtection="1">
      <alignment horizontal="left"/>
      <protection hidden="1"/>
    </xf>
    <xf numFmtId="0" fontId="71" fillId="0" borderId="0" xfId="0" applyFont="1" applyFill="1" applyProtection="1">
      <protection hidden="1"/>
    </xf>
    <xf numFmtId="2" fontId="71" fillId="6" borderId="0" xfId="0" applyNumberFormat="1" applyFont="1" applyFill="1" applyAlignment="1" applyProtection="1">
      <alignment horizontal="left" vertical="center"/>
      <protection hidden="1"/>
    </xf>
    <xf numFmtId="0" fontId="71" fillId="6" borderId="0" xfId="0" applyFont="1" applyFill="1" applyProtection="1">
      <protection hidden="1"/>
    </xf>
    <xf numFmtId="0" fontId="53" fillId="0" borderId="0" xfId="0" applyFont="1"/>
    <xf numFmtId="0" fontId="136" fillId="0" borderId="0" xfId="1" applyFont="1" applyAlignment="1" applyProtection="1"/>
    <xf numFmtId="0" fontId="0" fillId="0" borderId="0" xfId="0" applyAlignment="1">
      <alignment horizontal="left"/>
    </xf>
    <xf numFmtId="0" fontId="135" fillId="0" borderId="0" xfId="0" applyFont="1" applyAlignment="1">
      <alignment vertical="center"/>
    </xf>
    <xf numFmtId="0" fontId="0" fillId="0" borderId="0" xfId="0" applyAlignment="1">
      <alignment horizontal="left" vertical="center"/>
    </xf>
    <xf numFmtId="0" fontId="137" fillId="0" borderId="0" xfId="0" applyFont="1"/>
    <xf numFmtId="0" fontId="135" fillId="0" borderId="0" xfId="0" applyFont="1" applyAlignment="1">
      <alignment horizontal="left"/>
    </xf>
    <xf numFmtId="0" fontId="22" fillId="6" borderId="0" xfId="0" applyFont="1" applyFill="1" applyAlignment="1">
      <alignment horizontal="left"/>
    </xf>
    <xf numFmtId="0" fontId="138" fillId="0" borderId="0" xfId="0" applyFont="1"/>
    <xf numFmtId="0" fontId="135" fillId="0" borderId="0" xfId="0" applyFont="1" applyAlignment="1">
      <alignment horizontal="left" vertical="center"/>
    </xf>
    <xf numFmtId="0" fontId="0" fillId="0" borderId="0" xfId="0" applyAlignment="1">
      <alignment horizontal="left" vertical="top"/>
    </xf>
    <xf numFmtId="0" fontId="0" fillId="0" borderId="0" xfId="0" applyAlignment="1">
      <alignment vertical="center" wrapText="1"/>
    </xf>
    <xf numFmtId="0" fontId="139" fillId="0" borderId="0" xfId="0" applyFont="1"/>
    <xf numFmtId="0" fontId="21" fillId="0" borderId="0" xfId="0" applyFont="1" applyAlignment="1">
      <alignment horizontal="left"/>
    </xf>
    <xf numFmtId="49" fontId="0" fillId="0" borderId="0" xfId="0" applyNumberFormat="1" applyAlignment="1">
      <alignment horizontal="left" vertical="center"/>
    </xf>
    <xf numFmtId="175" fontId="140" fillId="0" borderId="0" xfId="17"/>
    <xf numFmtId="0" fontId="136" fillId="0" borderId="0" xfId="1" applyFont="1" applyAlignment="1" applyProtection="1"/>
    <xf numFmtId="0" fontId="59" fillId="0" borderId="0" xfId="0" applyFont="1" applyAlignment="1">
      <alignment horizontal="left"/>
    </xf>
    <xf numFmtId="0" fontId="2" fillId="0" borderId="0" xfId="0" applyFont="1" applyAlignment="1">
      <alignment horizontal="left"/>
    </xf>
    <xf numFmtId="170" fontId="26" fillId="3" borderId="18" xfId="0" applyNumberFormat="1" applyFont="1" applyFill="1" applyBorder="1" applyAlignment="1" applyProtection="1">
      <alignment horizontal="center" vertical="center" textRotation="90" wrapText="1"/>
    </xf>
    <xf numFmtId="170" fontId="26" fillId="3" borderId="1" xfId="0" applyNumberFormat="1" applyFont="1" applyFill="1" applyBorder="1" applyAlignment="1" applyProtection="1">
      <alignment horizontal="center" vertical="center" textRotation="90" wrapText="1"/>
    </xf>
    <xf numFmtId="1" fontId="73" fillId="3" borderId="3" xfId="0" applyNumberFormat="1" applyFont="1" applyFill="1" applyBorder="1" applyAlignment="1" applyProtection="1">
      <alignment horizontal="center" vertical="center"/>
    </xf>
    <xf numFmtId="1" fontId="73" fillId="3" borderId="9" xfId="0" applyNumberFormat="1" applyFont="1" applyFill="1" applyBorder="1" applyAlignment="1" applyProtection="1">
      <alignment horizontal="center" vertical="center"/>
    </xf>
    <xf numFmtId="1" fontId="73" fillId="3" borderId="6" xfId="0" applyNumberFormat="1" applyFont="1" applyFill="1" applyBorder="1" applyAlignment="1" applyProtection="1">
      <alignment horizontal="center" vertical="center"/>
    </xf>
    <xf numFmtId="0" fontId="26" fillId="3" borderId="4" xfId="0" applyFont="1" applyFill="1" applyBorder="1" applyAlignment="1" applyProtection="1">
      <alignment horizontal="center" vertical="center"/>
    </xf>
    <xf numFmtId="0" fontId="26" fillId="3" borderId="47" xfId="0" applyFont="1" applyFill="1" applyBorder="1" applyAlignment="1" applyProtection="1">
      <alignment horizontal="center" vertical="center"/>
    </xf>
    <xf numFmtId="0" fontId="26" fillId="3" borderId="7" xfId="0" applyFont="1" applyFill="1" applyBorder="1" applyAlignment="1" applyProtection="1">
      <alignment horizontal="center" vertical="center"/>
    </xf>
    <xf numFmtId="0" fontId="29" fillId="3" borderId="0" xfId="0" applyFont="1" applyFill="1" applyBorder="1" applyAlignment="1" applyProtection="1">
      <alignment horizontal="center"/>
    </xf>
    <xf numFmtId="0" fontId="22" fillId="6" borderId="2" xfId="0" applyFont="1" applyFill="1" applyBorder="1" applyProtection="1"/>
    <xf numFmtId="170" fontId="26" fillId="3" borderId="24" xfId="0" applyNumberFormat="1" applyFont="1" applyFill="1" applyBorder="1" applyAlignment="1" applyProtection="1">
      <alignment horizontal="center" vertical="center" textRotation="90" wrapText="1"/>
    </xf>
    <xf numFmtId="170" fontId="26" fillId="6" borderId="24" xfId="0" applyNumberFormat="1" applyFont="1" applyFill="1" applyBorder="1" applyAlignment="1" applyProtection="1">
      <alignment horizontal="center" vertical="center" textRotation="90" wrapText="1"/>
    </xf>
    <xf numFmtId="170" fontId="26" fillId="6" borderId="49" xfId="0" applyNumberFormat="1" applyFont="1" applyFill="1" applyBorder="1" applyAlignment="1" applyProtection="1">
      <alignment horizontal="center" vertical="center" textRotation="90" wrapText="1"/>
    </xf>
    <xf numFmtId="170" fontId="26" fillId="6" borderId="24" xfId="0" applyNumberFormat="1" applyFont="1" applyFill="1" applyBorder="1" applyAlignment="1" applyProtection="1">
      <alignment horizontal="center" vertical="top" wrapText="1"/>
    </xf>
    <xf numFmtId="170" fontId="26" fillId="6" borderId="1" xfId="0" applyNumberFormat="1" applyFont="1" applyFill="1" applyBorder="1" applyAlignment="1" applyProtection="1">
      <alignment horizontal="center" vertical="top" wrapText="1"/>
    </xf>
    <xf numFmtId="0" fontId="26" fillId="6" borderId="24" xfId="0" applyFont="1" applyFill="1" applyBorder="1" applyAlignment="1" applyProtection="1">
      <alignment horizontal="center" vertical="center"/>
    </xf>
    <xf numFmtId="0" fontId="26" fillId="6" borderId="18" xfId="0" applyFont="1" applyFill="1" applyBorder="1" applyAlignment="1" applyProtection="1">
      <alignment horizontal="center" vertical="center"/>
    </xf>
    <xf numFmtId="0" fontId="53" fillId="6" borderId="0" xfId="0" applyFont="1" applyFill="1" applyBorder="1" applyAlignment="1" applyProtection="1">
      <alignment horizontal="right"/>
    </xf>
    <xf numFmtId="0" fontId="91" fillId="6" borderId="0" xfId="0" applyFont="1" applyFill="1" applyBorder="1" applyAlignment="1" applyProtection="1">
      <alignment horizontal="center"/>
    </xf>
    <xf numFmtId="0" fontId="26" fillId="6" borderId="0" xfId="0" applyFont="1" applyFill="1" applyBorder="1" applyAlignment="1" applyProtection="1">
      <alignment horizontal="center"/>
    </xf>
    <xf numFmtId="0" fontId="26" fillId="6" borderId="2" xfId="0" applyFont="1" applyFill="1" applyBorder="1" applyAlignment="1" applyProtection="1">
      <alignment horizontal="center" vertical="center"/>
    </xf>
    <xf numFmtId="0" fontId="26" fillId="6" borderId="4" xfId="0" applyFont="1" applyFill="1" applyBorder="1" applyAlignment="1" applyProtection="1">
      <alignment horizontal="left" vertical="center" wrapText="1"/>
    </xf>
    <xf numFmtId="0" fontId="26" fillId="6" borderId="47" xfId="0" applyFont="1" applyFill="1" applyBorder="1" applyAlignment="1" applyProtection="1">
      <alignment horizontal="left" vertical="center"/>
    </xf>
    <xf numFmtId="0" fontId="26" fillId="6" borderId="7" xfId="0" applyFont="1" applyFill="1" applyBorder="1" applyAlignment="1" applyProtection="1">
      <alignment horizontal="left" vertical="center"/>
    </xf>
    <xf numFmtId="0" fontId="109" fillId="6" borderId="0"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xf>
    <xf numFmtId="0" fontId="26" fillId="6" borderId="24" xfId="0" applyFont="1" applyFill="1" applyBorder="1" applyAlignment="1" applyProtection="1">
      <alignment horizontal="left" vertical="center" wrapText="1"/>
    </xf>
    <xf numFmtId="0" fontId="26" fillId="6" borderId="18" xfId="0" applyFont="1" applyFill="1" applyBorder="1" applyAlignment="1" applyProtection="1">
      <alignment horizontal="left" vertical="center"/>
    </xf>
    <xf numFmtId="0" fontId="26" fillId="6" borderId="1" xfId="0" applyFont="1" applyFill="1" applyBorder="1" applyAlignment="1" applyProtection="1">
      <alignment horizontal="left" vertical="center"/>
    </xf>
    <xf numFmtId="0" fontId="26" fillId="6" borderId="0" xfId="0" applyFont="1" applyFill="1" applyBorder="1" applyAlignment="1" applyProtection="1">
      <alignment horizontal="center" vertical="center"/>
      <protection locked="0"/>
    </xf>
    <xf numFmtId="0" fontId="22" fillId="6" borderId="0" xfId="0" applyFont="1" applyFill="1" applyProtection="1"/>
    <xf numFmtId="0" fontId="22" fillId="6" borderId="0" xfId="0" applyFont="1" applyFill="1" applyBorder="1" applyAlignment="1" applyProtection="1">
      <alignment wrapText="1"/>
    </xf>
    <xf numFmtId="0" fontId="26" fillId="6" borderId="0" xfId="0" applyFont="1" applyFill="1" applyBorder="1" applyAlignment="1" applyProtection="1">
      <alignment horizontal="center" vertical="center"/>
    </xf>
    <xf numFmtId="0" fontId="26" fillId="6" borderId="24" xfId="0" applyFont="1" applyFill="1" applyBorder="1" applyAlignment="1" applyProtection="1">
      <alignment horizontal="left" vertical="center"/>
    </xf>
    <xf numFmtId="0" fontId="61" fillId="6" borderId="0" xfId="0" applyNumberFormat="1" applyFont="1" applyFill="1" applyBorder="1" applyAlignment="1" applyProtection="1">
      <alignment horizontal="left" vertical="top"/>
      <protection hidden="1"/>
    </xf>
    <xf numFmtId="0" fontId="53" fillId="2" borderId="0" xfId="0" applyFont="1" applyFill="1" applyBorder="1" applyAlignment="1" applyProtection="1">
      <alignment horizontal="center" vertical="center"/>
      <protection hidden="1"/>
    </xf>
    <xf numFmtId="0" fontId="61" fillId="6" borderId="0" xfId="0" applyNumberFormat="1" applyFont="1" applyFill="1" applyAlignment="1" applyProtection="1">
      <alignment horizontal="left" vertical="top"/>
      <protection hidden="1"/>
    </xf>
    <xf numFmtId="0" fontId="22" fillId="2" borderId="8" xfId="0" applyFont="1" applyFill="1" applyBorder="1" applyAlignment="1" applyProtection="1">
      <alignment horizontal="right" vertical="center"/>
      <protection hidden="1"/>
    </xf>
    <xf numFmtId="0" fontId="22" fillId="2" borderId="0" xfId="0" applyFont="1" applyFill="1" applyBorder="1" applyAlignment="1" applyProtection="1">
      <alignment horizontal="right" vertical="center"/>
      <protection hidden="1"/>
    </xf>
    <xf numFmtId="0" fontId="22" fillId="2" borderId="9" xfId="0" applyFont="1" applyFill="1" applyBorder="1" applyAlignment="1" applyProtection="1">
      <alignment horizontal="right" vertical="center"/>
      <protection hidden="1"/>
    </xf>
    <xf numFmtId="0" fontId="26" fillId="0" borderId="13" xfId="0" applyFont="1" applyFill="1" applyBorder="1" applyAlignment="1" applyProtection="1">
      <alignment horizontal="center" vertical="center"/>
      <protection hidden="1"/>
    </xf>
    <xf numFmtId="0" fontId="26" fillId="0" borderId="15" xfId="0" applyFont="1" applyFill="1" applyBorder="1" applyAlignment="1" applyProtection="1">
      <alignment horizontal="center" vertical="center"/>
      <protection hidden="1"/>
    </xf>
    <xf numFmtId="0" fontId="26" fillId="0" borderId="22" xfId="0" applyFont="1" applyFill="1" applyBorder="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91" fillId="6" borderId="0" xfId="0" applyFont="1" applyFill="1" applyAlignment="1" applyProtection="1">
      <alignment horizontal="center" vertical="center"/>
    </xf>
    <xf numFmtId="0" fontId="0" fillId="0" borderId="0" xfId="0" applyFill="1" applyBorder="1" applyProtection="1">
      <protection hidden="1"/>
    </xf>
    <xf numFmtId="0" fontId="0" fillId="0" borderId="12" xfId="0" applyFill="1" applyBorder="1" applyProtection="1">
      <protection hidden="1"/>
    </xf>
    <xf numFmtId="0" fontId="0" fillId="0" borderId="0" xfId="0" applyFill="1" applyBorder="1" applyProtection="1">
      <protection locked="0"/>
    </xf>
    <xf numFmtId="0" fontId="0" fillId="0" borderId="12" xfId="0" applyFill="1" applyBorder="1" applyProtection="1">
      <protection locked="0"/>
    </xf>
    <xf numFmtId="166" fontId="53" fillId="0" borderId="25" xfId="0" applyNumberFormat="1" applyFont="1" applyFill="1" applyBorder="1" applyAlignment="1" applyProtection="1">
      <alignment horizontal="center" vertical="center"/>
      <protection hidden="1"/>
    </xf>
    <xf numFmtId="166" fontId="53" fillId="0" borderId="26" xfId="0" applyNumberFormat="1" applyFont="1" applyFill="1" applyBorder="1" applyAlignment="1" applyProtection="1">
      <alignment horizontal="center" vertical="center"/>
      <protection hidden="1"/>
    </xf>
    <xf numFmtId="166" fontId="53" fillId="0" borderId="27" xfId="0" applyNumberFormat="1" applyFont="1" applyFill="1" applyBorder="1" applyAlignment="1" applyProtection="1">
      <alignment horizontal="center" vertical="center"/>
      <protection hidden="1"/>
    </xf>
    <xf numFmtId="2" fontId="26" fillId="4" borderId="24" xfId="0" applyNumberFormat="1" applyFont="1" applyFill="1" applyBorder="1" applyAlignment="1" applyProtection="1">
      <alignment horizontal="center" vertical="center"/>
      <protection locked="0"/>
    </xf>
    <xf numFmtId="2" fontId="26" fillId="4" borderId="18" xfId="0" applyNumberFormat="1" applyFont="1" applyFill="1" applyBorder="1" applyAlignment="1" applyProtection="1">
      <alignment horizontal="center" vertical="center"/>
      <protection locked="0"/>
    </xf>
    <xf numFmtId="2" fontId="26" fillId="4" borderId="1" xfId="0" applyNumberFormat="1" applyFont="1" applyFill="1" applyBorder="1" applyAlignment="1" applyProtection="1">
      <alignment horizontal="center" vertical="center"/>
      <protection locked="0"/>
    </xf>
    <xf numFmtId="0" fontId="22" fillId="0" borderId="25" xfId="0" applyFont="1" applyFill="1" applyBorder="1" applyProtection="1">
      <protection hidden="1"/>
    </xf>
    <xf numFmtId="0" fontId="22" fillId="0" borderId="27" xfId="0" applyFont="1" applyFill="1" applyBorder="1" applyProtection="1">
      <protection hidden="1"/>
    </xf>
    <xf numFmtId="0" fontId="26" fillId="0" borderId="14" xfId="0" applyFont="1" applyFill="1" applyBorder="1" applyAlignment="1" applyProtection="1">
      <alignment horizontal="center" vertical="center"/>
      <protection hidden="1"/>
    </xf>
    <xf numFmtId="0" fontId="26" fillId="0" borderId="20" xfId="0" applyFont="1" applyFill="1" applyBorder="1" applyAlignment="1" applyProtection="1">
      <alignment horizontal="center" vertical="center"/>
      <protection hidden="1"/>
    </xf>
    <xf numFmtId="0" fontId="26" fillId="0" borderId="21" xfId="0" applyFont="1" applyFill="1" applyBorder="1" applyAlignment="1" applyProtection="1">
      <alignment horizontal="center" vertical="center"/>
      <protection hidden="1"/>
    </xf>
    <xf numFmtId="0" fontId="26" fillId="0" borderId="32" xfId="0" applyFont="1" applyFill="1" applyBorder="1" applyAlignment="1" applyProtection="1">
      <alignment horizontal="center" vertical="center"/>
      <protection hidden="1"/>
    </xf>
    <xf numFmtId="0" fontId="26" fillId="0" borderId="25" xfId="0" applyFont="1" applyFill="1" applyBorder="1" applyAlignment="1" applyProtection="1">
      <alignment horizontal="center" vertical="center"/>
      <protection hidden="1"/>
    </xf>
    <xf numFmtId="0" fontId="26" fillId="0" borderId="26" xfId="0" applyFont="1" applyFill="1" applyBorder="1" applyAlignment="1" applyProtection="1">
      <alignment horizontal="center" vertical="center"/>
      <protection hidden="1"/>
    </xf>
    <xf numFmtId="0" fontId="26" fillId="0" borderId="27" xfId="0" applyFont="1" applyFill="1" applyBorder="1" applyAlignment="1" applyProtection="1">
      <alignment horizontal="center" vertical="center"/>
      <protection hidden="1"/>
    </xf>
    <xf numFmtId="0" fontId="91" fillId="6" borderId="0" xfId="0" applyFont="1" applyFill="1" applyAlignment="1" applyProtection="1">
      <alignment horizontal="center" vertical="center"/>
      <protection hidden="1"/>
    </xf>
    <xf numFmtId="0" fontId="85" fillId="2" borderId="8" xfId="0" applyFont="1" applyFill="1" applyBorder="1" applyAlignment="1" applyProtection="1">
      <alignment horizontal="center"/>
      <protection hidden="1"/>
    </xf>
    <xf numFmtId="0" fontId="85" fillId="2" borderId="0" xfId="0" applyFont="1" applyFill="1" applyBorder="1" applyAlignment="1" applyProtection="1">
      <alignment horizontal="center"/>
      <protection hidden="1"/>
    </xf>
    <xf numFmtId="0" fontId="85" fillId="2" borderId="12" xfId="0" applyFont="1" applyFill="1" applyBorder="1" applyAlignment="1" applyProtection="1">
      <alignment horizontal="center"/>
      <protection hidden="1"/>
    </xf>
    <xf numFmtId="0" fontId="26" fillId="2" borderId="23" xfId="0" applyFont="1" applyFill="1" applyBorder="1" applyAlignment="1" applyProtection="1">
      <alignment horizontal="center" vertical="center"/>
      <protection locked="0"/>
    </xf>
    <xf numFmtId="0" fontId="26" fillId="2" borderId="10" xfId="0" applyFont="1" applyFill="1" applyBorder="1" applyAlignment="1" applyProtection="1">
      <alignment horizontal="center" vertical="center"/>
      <protection locked="0"/>
    </xf>
    <xf numFmtId="0" fontId="26" fillId="2" borderId="6" xfId="0" applyFont="1" applyFill="1" applyBorder="1" applyAlignment="1" applyProtection="1">
      <alignment horizontal="center" vertical="center"/>
      <protection locked="0"/>
    </xf>
    <xf numFmtId="0" fontId="26" fillId="2" borderId="17" xfId="0" applyFont="1" applyFill="1" applyBorder="1" applyAlignment="1" applyProtection="1">
      <alignment horizontal="left" vertical="center"/>
      <protection hidden="1"/>
    </xf>
    <xf numFmtId="0" fontId="26" fillId="2" borderId="18" xfId="0" applyFont="1" applyFill="1" applyBorder="1" applyAlignment="1" applyProtection="1">
      <alignment horizontal="left" vertical="center"/>
      <protection hidden="1"/>
    </xf>
    <xf numFmtId="0" fontId="26" fillId="2" borderId="1" xfId="0" applyFont="1" applyFill="1" applyBorder="1" applyAlignment="1" applyProtection="1">
      <alignment horizontal="left" vertical="center"/>
      <protection hidden="1"/>
    </xf>
    <xf numFmtId="0" fontId="53" fillId="2" borderId="0" xfId="0" applyFont="1" applyFill="1" applyBorder="1" applyAlignment="1" applyProtection="1">
      <alignment horizontal="left" vertical="center"/>
      <protection hidden="1"/>
    </xf>
    <xf numFmtId="0" fontId="53" fillId="2" borderId="12" xfId="0" applyFont="1" applyFill="1" applyBorder="1" applyAlignment="1" applyProtection="1">
      <alignment horizontal="left" vertical="center"/>
      <protection hidden="1"/>
    </xf>
    <xf numFmtId="0" fontId="0" fillId="2" borderId="20" xfId="0" applyFill="1" applyBorder="1" applyProtection="1">
      <protection hidden="1"/>
    </xf>
    <xf numFmtId="0" fontId="0" fillId="2" borderId="21" xfId="0" applyFill="1" applyBorder="1" applyProtection="1">
      <protection hidden="1"/>
    </xf>
    <xf numFmtId="0" fontId="0" fillId="2" borderId="32" xfId="0" applyFill="1" applyBorder="1" applyProtection="1">
      <protection hidden="1"/>
    </xf>
    <xf numFmtId="0" fontId="26" fillId="0" borderId="12" xfId="0" applyFont="1" applyFill="1" applyBorder="1" applyAlignment="1" applyProtection="1">
      <alignment horizontal="center" vertical="center"/>
      <protection hidden="1"/>
    </xf>
    <xf numFmtId="0" fontId="29" fillId="0" borderId="25" xfId="0" applyFont="1" applyFill="1" applyBorder="1" applyAlignment="1" applyProtection="1">
      <alignment horizontal="center" vertical="center"/>
      <protection hidden="1"/>
    </xf>
    <xf numFmtId="0" fontId="29" fillId="0" borderId="26" xfId="0" applyFont="1" applyFill="1" applyBorder="1" applyAlignment="1" applyProtection="1">
      <alignment horizontal="center" vertical="center"/>
      <protection hidden="1"/>
    </xf>
    <xf numFmtId="0" fontId="29" fillId="0" borderId="27" xfId="0" applyFont="1" applyFill="1" applyBorder="1" applyAlignment="1" applyProtection="1">
      <alignment horizontal="center" vertical="center"/>
      <protection hidden="1"/>
    </xf>
    <xf numFmtId="0" fontId="26" fillId="2" borderId="28" xfId="0" applyFont="1" applyFill="1" applyBorder="1" applyAlignment="1" applyProtection="1">
      <alignment horizontal="center" vertical="center"/>
      <protection hidden="1"/>
    </xf>
    <xf numFmtId="0" fontId="26" fillId="2" borderId="29" xfId="0" applyFont="1" applyFill="1" applyBorder="1" applyAlignment="1" applyProtection="1">
      <alignment horizontal="center" vertical="center"/>
      <protection hidden="1"/>
    </xf>
    <xf numFmtId="0" fontId="26" fillId="4" borderId="24" xfId="0" applyFont="1" applyFill="1" applyBorder="1" applyAlignment="1" applyProtection="1">
      <alignment horizontal="center" vertical="center"/>
      <protection locked="0"/>
    </xf>
    <xf numFmtId="0" fontId="26" fillId="4" borderId="18" xfId="0" applyFont="1" applyFill="1" applyBorder="1" applyAlignment="1" applyProtection="1">
      <alignment horizontal="center" vertical="center"/>
      <protection locked="0"/>
    </xf>
    <xf numFmtId="0" fontId="26" fillId="4" borderId="1" xfId="0" applyFont="1" applyFill="1" applyBorder="1" applyAlignment="1" applyProtection="1">
      <alignment horizontal="center" vertical="center"/>
      <protection locked="0"/>
    </xf>
    <xf numFmtId="0" fontId="0" fillId="0" borderId="20" xfId="0" applyFill="1" applyBorder="1" applyProtection="1">
      <protection hidden="1"/>
    </xf>
    <xf numFmtId="0" fontId="0" fillId="0" borderId="32" xfId="0" applyFill="1" applyBorder="1" applyProtection="1">
      <protection hidden="1"/>
    </xf>
    <xf numFmtId="0" fontId="0" fillId="0" borderId="13" xfId="0" applyFill="1" applyBorder="1" applyProtection="1">
      <protection hidden="1"/>
    </xf>
    <xf numFmtId="0" fontId="0" fillId="0" borderId="15" xfId="0" applyFill="1" applyBorder="1" applyProtection="1">
      <protection hidden="1"/>
    </xf>
    <xf numFmtId="0" fontId="53" fillId="2" borderId="26" xfId="0" applyFont="1" applyFill="1" applyBorder="1" applyAlignment="1" applyProtection="1">
      <alignment horizontal="right" wrapText="1"/>
      <protection hidden="1"/>
    </xf>
    <xf numFmtId="0" fontId="53" fillId="2" borderId="27" xfId="0" applyFont="1" applyFill="1" applyBorder="1" applyAlignment="1" applyProtection="1">
      <alignment horizontal="right" wrapText="1"/>
      <protection hidden="1"/>
    </xf>
    <xf numFmtId="0" fontId="30" fillId="2" borderId="25" xfId="0" applyFont="1" applyFill="1" applyBorder="1" applyAlignment="1" applyProtection="1">
      <alignment horizontal="center" wrapText="1"/>
      <protection hidden="1"/>
    </xf>
    <xf numFmtId="0" fontId="30" fillId="2" borderId="26" xfId="0" applyFont="1" applyFill="1" applyBorder="1" applyAlignment="1" applyProtection="1">
      <alignment horizontal="center" wrapText="1"/>
      <protection hidden="1"/>
    </xf>
    <xf numFmtId="0" fontId="26" fillId="4" borderId="30" xfId="0" applyFont="1" applyFill="1" applyBorder="1" applyAlignment="1" applyProtection="1">
      <alignment horizontal="center" vertical="center"/>
      <protection locked="0"/>
    </xf>
    <xf numFmtId="0" fontId="26" fillId="4" borderId="28" xfId="0" applyFont="1" applyFill="1" applyBorder="1" applyAlignment="1" applyProtection="1">
      <alignment horizontal="center" vertical="center"/>
      <protection locked="0"/>
    </xf>
    <xf numFmtId="0" fontId="26" fillId="4" borderId="31" xfId="0" applyFont="1" applyFill="1" applyBorder="1" applyAlignment="1" applyProtection="1">
      <alignment horizontal="center" vertical="center"/>
      <protection locked="0"/>
    </xf>
    <xf numFmtId="0" fontId="116" fillId="2" borderId="8" xfId="0" applyFont="1" applyFill="1" applyBorder="1" applyAlignment="1" applyProtection="1">
      <alignment horizontal="center" vertical="center"/>
      <protection hidden="1"/>
    </xf>
    <xf numFmtId="0" fontId="116" fillId="2" borderId="0" xfId="0" applyFont="1" applyFill="1" applyBorder="1" applyAlignment="1" applyProtection="1">
      <alignment horizontal="center" vertical="center"/>
      <protection hidden="1"/>
    </xf>
    <xf numFmtId="0" fontId="116" fillId="2" borderId="12" xfId="0" applyFont="1" applyFill="1" applyBorder="1" applyAlignment="1" applyProtection="1">
      <alignment horizontal="center" vertical="center"/>
      <protection hidden="1"/>
    </xf>
    <xf numFmtId="0" fontId="116" fillId="0" borderId="8" xfId="0" applyFont="1" applyFill="1" applyBorder="1" applyAlignment="1" applyProtection="1">
      <alignment horizontal="center"/>
      <protection hidden="1"/>
    </xf>
    <xf numFmtId="0" fontId="116" fillId="0" borderId="0" xfId="0" applyFont="1" applyFill="1" applyBorder="1" applyAlignment="1" applyProtection="1">
      <alignment horizontal="center"/>
      <protection hidden="1"/>
    </xf>
    <xf numFmtId="0" fontId="116" fillId="0" borderId="12" xfId="0" applyFont="1" applyFill="1" applyBorder="1" applyAlignment="1" applyProtection="1">
      <alignment horizontal="center"/>
      <protection hidden="1"/>
    </xf>
    <xf numFmtId="0" fontId="116" fillId="0" borderId="8" xfId="0" applyFont="1" applyFill="1" applyBorder="1" applyAlignment="1" applyProtection="1">
      <alignment horizontal="center" vertical="center"/>
      <protection hidden="1"/>
    </xf>
    <xf numFmtId="0" fontId="116" fillId="0" borderId="0" xfId="0" applyFont="1" applyFill="1" applyBorder="1" applyAlignment="1" applyProtection="1">
      <alignment horizontal="center" vertical="center"/>
      <protection hidden="1"/>
    </xf>
    <xf numFmtId="0" fontId="116" fillId="0" borderId="12" xfId="0" applyFont="1" applyFill="1" applyBorder="1" applyAlignment="1" applyProtection="1">
      <alignment horizontal="center" vertical="center"/>
      <protection hidden="1"/>
    </xf>
    <xf numFmtId="0" fontId="26" fillId="4" borderId="34" xfId="0" applyFont="1" applyFill="1" applyBorder="1" applyAlignment="1" applyProtection="1">
      <alignment horizontal="center" vertical="center"/>
      <protection locked="0"/>
    </xf>
    <xf numFmtId="0" fontId="22" fillId="0" borderId="18" xfId="0" applyFont="1" applyFill="1" applyBorder="1" applyAlignment="1" applyProtection="1">
      <alignment horizontal="left" vertical="center"/>
      <protection hidden="1"/>
    </xf>
    <xf numFmtId="0" fontId="22" fillId="0" borderId="1" xfId="0" applyFont="1" applyFill="1" applyBorder="1" applyAlignment="1" applyProtection="1">
      <alignment horizontal="left" vertical="center"/>
      <protection hidden="1"/>
    </xf>
    <xf numFmtId="0" fontId="71" fillId="0" borderId="0" xfId="0" applyFont="1" applyAlignment="1">
      <alignment horizontal="center" vertical="center"/>
    </xf>
    <xf numFmtId="0" fontId="26" fillId="0" borderId="0" xfId="0" applyFont="1" applyBorder="1" applyAlignment="1" applyProtection="1">
      <alignment horizontal="center"/>
    </xf>
    <xf numFmtId="0" fontId="73" fillId="3" borderId="0" xfId="0" applyFont="1" applyFill="1" applyBorder="1" applyAlignment="1" applyProtection="1">
      <alignment horizontal="center" vertical="center"/>
    </xf>
    <xf numFmtId="0" fontId="26" fillId="0" borderId="0" xfId="0" applyFont="1" applyBorder="1" applyAlignment="1" applyProtection="1">
      <alignment horizontal="center" vertical="center"/>
    </xf>
    <xf numFmtId="0" fontId="119" fillId="3" borderId="0" xfId="0" applyFont="1" applyFill="1" applyBorder="1" applyAlignment="1" applyProtection="1">
      <alignment horizontal="center" vertical="center"/>
    </xf>
    <xf numFmtId="0" fontId="26" fillId="0" borderId="0" xfId="0" applyFont="1" applyBorder="1" applyAlignment="1" applyProtection="1">
      <alignment horizontal="left" vertical="center"/>
    </xf>
    <xf numFmtId="0" fontId="26" fillId="0" borderId="0" xfId="0" applyFont="1" applyAlignment="1" applyProtection="1">
      <alignment horizontal="left" vertical="center"/>
    </xf>
    <xf numFmtId="0" fontId="94" fillId="0" borderId="0" xfId="0" applyFont="1" applyBorder="1" applyAlignment="1" applyProtection="1">
      <alignment horizontal="center" vertical="center"/>
    </xf>
    <xf numFmtId="171" fontId="26" fillId="0" borderId="0" xfId="0" applyNumberFormat="1" applyFont="1" applyBorder="1" applyAlignment="1" applyProtection="1">
      <alignment horizontal="center" vertical="center"/>
    </xf>
    <xf numFmtId="0" fontId="26" fillId="0" borderId="8" xfId="0" applyFont="1" applyBorder="1" applyAlignment="1" applyProtection="1">
      <alignment horizontal="center"/>
    </xf>
    <xf numFmtId="0" fontId="0" fillId="0" borderId="0" xfId="0" applyBorder="1" applyAlignment="1" applyProtection="1">
      <alignment horizontal="center"/>
    </xf>
    <xf numFmtId="0" fontId="0" fillId="0" borderId="9" xfId="0" applyBorder="1" applyAlignment="1" applyProtection="1">
      <alignment horizontal="center"/>
    </xf>
    <xf numFmtId="0" fontId="26" fillId="0" borderId="5" xfId="0" applyFont="1" applyBorder="1" applyAlignment="1" applyProtection="1">
      <alignment horizontal="center" vertical="top" wrapText="1"/>
    </xf>
    <xf numFmtId="0" fontId="26" fillId="0" borderId="10" xfId="0" applyFont="1" applyBorder="1" applyAlignment="1" applyProtection="1">
      <alignment horizontal="center" vertical="top" wrapText="1"/>
    </xf>
    <xf numFmtId="0" fontId="26" fillId="0" borderId="6" xfId="0" applyFont="1" applyBorder="1" applyAlignment="1" applyProtection="1">
      <alignment horizontal="center" vertical="top" wrapText="1"/>
    </xf>
    <xf numFmtId="0" fontId="91" fillId="0" borderId="5" xfId="0" applyFont="1" applyBorder="1" applyAlignment="1" applyProtection="1">
      <alignment horizontal="center" vertical="center"/>
    </xf>
    <xf numFmtId="0" fontId="91" fillId="0" borderId="10" xfId="0" applyFont="1" applyBorder="1" applyAlignment="1" applyProtection="1">
      <alignment horizontal="center" vertical="center"/>
    </xf>
    <xf numFmtId="0" fontId="91" fillId="0" borderId="6" xfId="0" applyFont="1" applyBorder="1" applyAlignment="1" applyProtection="1">
      <alignment horizontal="center" vertical="center"/>
    </xf>
    <xf numFmtId="0" fontId="0" fillId="0" borderId="0" xfId="0" applyBorder="1" applyAlignment="1" applyProtection="1">
      <alignment horizontal="right"/>
    </xf>
    <xf numFmtId="0" fontId="0" fillId="0" borderId="9" xfId="0" applyBorder="1" applyAlignment="1" applyProtection="1">
      <alignment horizontal="right"/>
    </xf>
    <xf numFmtId="0" fontId="118" fillId="0" borderId="0" xfId="0" applyFont="1" applyFill="1" applyBorder="1" applyAlignment="1" applyProtection="1">
      <alignment horizontal="center"/>
    </xf>
    <xf numFmtId="0" fontId="119" fillId="3" borderId="24" xfId="0" applyFont="1" applyFill="1" applyBorder="1" applyAlignment="1" applyProtection="1">
      <alignment horizontal="center"/>
    </xf>
    <xf numFmtId="0" fontId="119" fillId="3" borderId="18" xfId="0" applyFont="1" applyFill="1" applyBorder="1" applyAlignment="1" applyProtection="1">
      <alignment horizontal="center"/>
    </xf>
    <xf numFmtId="0" fontId="119" fillId="3" borderId="1" xfId="0" applyFont="1" applyFill="1" applyBorder="1" applyAlignment="1" applyProtection="1">
      <alignment horizontal="center"/>
    </xf>
    <xf numFmtId="0" fontId="0" fillId="0" borderId="0" xfId="0" applyBorder="1" applyAlignment="1" applyProtection="1">
      <alignment horizontal="left" vertical="center"/>
    </xf>
    <xf numFmtId="0" fontId="22" fillId="0" borderId="18" xfId="0" applyFont="1" applyFill="1" applyBorder="1" applyAlignment="1" applyProtection="1">
      <alignment horizontal="left"/>
      <protection locked="0"/>
    </xf>
    <xf numFmtId="0" fontId="0" fillId="0" borderId="18" xfId="0" applyFill="1" applyBorder="1" applyAlignment="1" applyProtection="1">
      <alignment horizontal="left"/>
      <protection locked="0"/>
    </xf>
    <xf numFmtId="0" fontId="22" fillId="0" borderId="16" xfId="0" applyFont="1" applyFill="1" applyBorder="1" applyAlignment="1" applyProtection="1">
      <alignment horizontal="left"/>
      <protection locked="0"/>
    </xf>
    <xf numFmtId="0" fontId="0" fillId="0" borderId="16" xfId="0" applyFill="1" applyBorder="1" applyAlignment="1" applyProtection="1">
      <alignment horizontal="left"/>
      <protection locked="0"/>
    </xf>
    <xf numFmtId="0" fontId="0" fillId="0" borderId="10" xfId="0" applyFill="1" applyBorder="1" applyAlignment="1" applyProtection="1">
      <alignment horizontal="left"/>
      <protection locked="0"/>
    </xf>
    <xf numFmtId="0" fontId="0" fillId="0" borderId="24" xfId="0" applyFill="1" applyBorder="1" applyAlignment="1" applyProtection="1">
      <alignment horizontal="center"/>
      <protection locked="0"/>
    </xf>
    <xf numFmtId="0" fontId="0" fillId="0" borderId="1" xfId="0" applyFill="1" applyBorder="1" applyAlignment="1" applyProtection="1">
      <alignment horizontal="center"/>
      <protection locked="0"/>
    </xf>
    <xf numFmtId="14" fontId="0" fillId="0" borderId="24" xfId="0" applyNumberFormat="1" applyFill="1" applyBorder="1" applyAlignment="1" applyProtection="1">
      <alignment horizontal="center"/>
    </xf>
    <xf numFmtId="14" fontId="0" fillId="0" borderId="1" xfId="0" applyNumberFormat="1" applyFill="1" applyBorder="1" applyAlignment="1" applyProtection="1">
      <alignment horizontal="center"/>
    </xf>
    <xf numFmtId="0" fontId="119" fillId="3" borderId="18" xfId="0" applyFont="1" applyFill="1" applyBorder="1" applyAlignment="1" applyProtection="1">
      <alignment horizontal="center" vertical="center"/>
    </xf>
    <xf numFmtId="0" fontId="119" fillId="3" borderId="1" xfId="0" applyFont="1" applyFill="1" applyBorder="1" applyAlignment="1" applyProtection="1">
      <alignment horizontal="center" vertical="center"/>
    </xf>
    <xf numFmtId="0" fontId="22" fillId="0" borderId="10" xfId="0" applyFont="1" applyFill="1" applyBorder="1" applyAlignment="1" applyProtection="1">
      <alignment horizontal="left"/>
      <protection locked="0"/>
    </xf>
    <xf numFmtId="0" fontId="22" fillId="0" borderId="0" xfId="0" applyFont="1" applyBorder="1" applyAlignment="1" applyProtection="1">
      <alignment horizontal="left" vertical="center" wrapText="1"/>
    </xf>
    <xf numFmtId="0" fontId="26" fillId="0" borderId="0" xfId="0" applyFont="1" applyAlignment="1" applyProtection="1">
      <alignment vertical="top" wrapText="1"/>
    </xf>
    <xf numFmtId="0" fontId="22" fillId="0" borderId="0" xfId="0" applyFont="1" applyBorder="1" applyAlignment="1" applyProtection="1">
      <alignment horizontal="left" vertical="center"/>
    </xf>
    <xf numFmtId="0" fontId="23" fillId="0" borderId="0" xfId="0" applyFont="1" applyBorder="1" applyAlignment="1" applyProtection="1">
      <alignment horizontal="left" vertical="center"/>
    </xf>
    <xf numFmtId="0" fontId="22"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22" fillId="0" borderId="8" xfId="0" applyFont="1" applyBorder="1" applyAlignment="1" applyProtection="1">
      <alignment horizontal="center" vertical="center"/>
    </xf>
    <xf numFmtId="0" fontId="22" fillId="0" borderId="0" xfId="0" applyFont="1" applyBorder="1" applyAlignment="1" applyProtection="1">
      <alignment horizontal="center" vertical="center"/>
    </xf>
    <xf numFmtId="0" fontId="22" fillId="0" borderId="9"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9" fillId="3" borderId="24" xfId="0" applyFont="1" applyFill="1" applyBorder="1" applyAlignment="1" applyProtection="1">
      <alignment horizontal="center"/>
    </xf>
    <xf numFmtId="0" fontId="29" fillId="3" borderId="18" xfId="0" applyFont="1" applyFill="1" applyBorder="1" applyAlignment="1" applyProtection="1">
      <alignment horizontal="center"/>
    </xf>
    <xf numFmtId="0" fontId="29" fillId="3" borderId="1" xfId="0" applyFont="1" applyFill="1" applyBorder="1" applyAlignment="1" applyProtection="1">
      <alignment horizontal="center"/>
    </xf>
    <xf numFmtId="0" fontId="26" fillId="0" borderId="9" xfId="0" applyFont="1" applyBorder="1" applyAlignment="1" applyProtection="1">
      <alignment horizontal="center"/>
    </xf>
    <xf numFmtId="0" fontId="94" fillId="0" borderId="0" xfId="0" applyFont="1" applyBorder="1" applyAlignment="1" applyProtection="1">
      <alignment horizontal="left" vertical="top" wrapText="1"/>
    </xf>
    <xf numFmtId="0" fontId="53" fillId="0" borderId="0" xfId="0" applyFont="1" applyBorder="1" applyAlignment="1" applyProtection="1">
      <alignment horizontal="left" vertical="top" wrapText="1"/>
    </xf>
    <xf numFmtId="171" fontId="26" fillId="0" borderId="0" xfId="0" applyNumberFormat="1" applyFont="1" applyBorder="1" applyAlignment="1" applyProtection="1">
      <alignment horizontal="left" vertical="center"/>
    </xf>
    <xf numFmtId="0" fontId="94" fillId="0" borderId="0" xfId="0" applyFont="1" applyBorder="1" applyAlignment="1" applyProtection="1">
      <alignment horizontal="left" vertical="center"/>
    </xf>
    <xf numFmtId="0" fontId="26" fillId="0" borderId="8" xfId="0" applyFont="1" applyBorder="1" applyAlignment="1" applyProtection="1">
      <alignment horizontal="center" vertical="top"/>
    </xf>
    <xf numFmtId="0" fontId="26" fillId="0" borderId="0" xfId="0" applyFont="1" applyBorder="1" applyAlignment="1" applyProtection="1">
      <alignment horizontal="center" vertical="top"/>
    </xf>
    <xf numFmtId="0" fontId="26" fillId="0" borderId="9" xfId="0" applyFont="1" applyBorder="1" applyAlignment="1" applyProtection="1">
      <alignment horizontal="center" vertical="top"/>
    </xf>
    <xf numFmtId="0" fontId="39" fillId="0" borderId="24" xfId="1" applyFont="1" applyFill="1" applyBorder="1" applyAlignment="1" applyProtection="1">
      <alignment horizontal="center"/>
      <protection locked="0"/>
    </xf>
    <xf numFmtId="0" fontId="39" fillId="0" borderId="1" xfId="1" applyFont="1" applyFill="1" applyBorder="1" applyAlignment="1" applyProtection="1">
      <alignment horizontal="center"/>
      <protection locked="0"/>
    </xf>
    <xf numFmtId="0" fontId="0" fillId="0" borderId="1" xfId="0" applyFill="1" applyBorder="1" applyProtection="1"/>
    <xf numFmtId="0" fontId="0" fillId="0" borderId="16" xfId="0" applyBorder="1" applyAlignment="1" applyProtection="1">
      <alignment horizontal="left" vertical="center" wrapText="1"/>
    </xf>
    <xf numFmtId="0" fontId="0" fillId="0" borderId="3" xfId="0" applyBorder="1" applyAlignment="1" applyProtection="1">
      <alignment horizontal="left" vertical="center" wrapText="1"/>
    </xf>
    <xf numFmtId="0" fontId="26" fillId="0" borderId="16" xfId="0" applyFont="1" applyBorder="1" applyAlignment="1" applyProtection="1">
      <alignment horizontal="right" vertical="center"/>
    </xf>
    <xf numFmtId="0" fontId="118" fillId="0" borderId="0" xfId="0" applyFont="1" applyBorder="1" applyAlignment="1" applyProtection="1">
      <alignment horizontal="center"/>
    </xf>
    <xf numFmtId="0" fontId="119" fillId="3" borderId="24" xfId="0" applyFont="1" applyFill="1" applyBorder="1" applyAlignment="1" applyProtection="1">
      <alignment horizontal="center" vertical="center"/>
    </xf>
    <xf numFmtId="0" fontId="22" fillId="0" borderId="0" xfId="0" applyFont="1" applyAlignment="1" applyProtection="1">
      <alignment horizontal="left" vertical="top" wrapText="1"/>
    </xf>
    <xf numFmtId="0" fontId="73" fillId="3" borderId="0" xfId="0" applyFont="1" applyFill="1" applyBorder="1" applyAlignment="1" applyProtection="1">
      <alignment horizontal="center"/>
    </xf>
    <xf numFmtId="0" fontId="0" fillId="0" borderId="18" xfId="0" applyFill="1" applyBorder="1" applyAlignment="1" applyProtection="1">
      <alignment horizontal="center"/>
      <protection locked="0"/>
    </xf>
    <xf numFmtId="0" fontId="0" fillId="0" borderId="16" xfId="0" applyFill="1" applyBorder="1" applyAlignment="1" applyProtection="1">
      <alignment horizontal="center"/>
      <protection locked="0"/>
    </xf>
    <xf numFmtId="0" fontId="22" fillId="0" borderId="10" xfId="0" applyFont="1" applyFill="1" applyBorder="1" applyAlignment="1" applyProtection="1">
      <alignment horizontal="center"/>
      <protection locked="0"/>
    </xf>
    <xf numFmtId="0" fontId="0" fillId="0" borderId="10" xfId="0" applyFill="1" applyBorder="1" applyAlignment="1" applyProtection="1">
      <alignment horizontal="center"/>
      <protection locked="0"/>
    </xf>
    <xf numFmtId="0" fontId="123" fillId="0" borderId="5" xfId="0" applyFont="1" applyBorder="1" applyAlignment="1" applyProtection="1">
      <alignment horizontal="center" vertical="center"/>
    </xf>
    <xf numFmtId="0" fontId="61" fillId="0" borderId="10" xfId="0" applyFont="1" applyBorder="1" applyAlignment="1" applyProtection="1">
      <alignment horizontal="center" vertical="center"/>
    </xf>
    <xf numFmtId="0" fontId="61" fillId="0" borderId="6" xfId="0" applyFont="1" applyBorder="1" applyAlignment="1" applyProtection="1">
      <alignment horizontal="center" vertical="center"/>
    </xf>
    <xf numFmtId="0" fontId="0" fillId="0" borderId="0" xfId="0" applyBorder="1" applyAlignment="1" applyProtection="1">
      <alignment horizontal="right" vertical="center"/>
    </xf>
    <xf numFmtId="0" fontId="0" fillId="0" borderId="9" xfId="0" applyBorder="1" applyAlignment="1" applyProtection="1">
      <alignment horizontal="right" vertical="center"/>
    </xf>
    <xf numFmtId="14" fontId="0" fillId="0" borderId="24" xfId="0" applyNumberFormat="1" applyFill="1" applyBorder="1" applyAlignment="1" applyProtection="1">
      <alignment horizontal="center" vertical="center"/>
    </xf>
    <xf numFmtId="14" fontId="0" fillId="0" borderId="1" xfId="0" applyNumberFormat="1" applyFill="1" applyBorder="1" applyAlignment="1" applyProtection="1">
      <alignment horizontal="center" vertical="center"/>
    </xf>
    <xf numFmtId="0" fontId="91" fillId="0" borderId="5" xfId="0" applyFont="1" applyBorder="1" applyAlignment="1" applyProtection="1">
      <alignment horizontal="center" vertical="center" wrapText="1"/>
    </xf>
    <xf numFmtId="0" fontId="91" fillId="0" borderId="10" xfId="0" applyFont="1" applyBorder="1" applyAlignment="1" applyProtection="1">
      <alignment horizontal="center" vertical="center" wrapText="1"/>
    </xf>
    <xf numFmtId="0" fontId="91" fillId="0" borderId="6" xfId="0" applyFont="1" applyBorder="1" applyAlignment="1" applyProtection="1">
      <alignment horizontal="center" vertical="center" wrapText="1"/>
    </xf>
    <xf numFmtId="0" fontId="22" fillId="2" borderId="0" xfId="0" applyFont="1" applyFill="1" applyBorder="1" applyAlignment="1">
      <alignment horizontal="center"/>
    </xf>
    <xf numFmtId="166" fontId="22" fillId="2" borderId="0" xfId="0" applyNumberFormat="1" applyFont="1" applyFill="1" applyBorder="1" applyAlignment="1">
      <alignment horizontal="center"/>
    </xf>
    <xf numFmtId="2" fontId="22" fillId="2" borderId="0" xfId="0" applyNumberFormat="1" applyFont="1" applyFill="1" applyBorder="1" applyAlignment="1">
      <alignment horizontal="center"/>
    </xf>
    <xf numFmtId="0" fontId="26" fillId="2" borderId="0" xfId="0" applyFont="1" applyFill="1" applyBorder="1" applyAlignment="1">
      <alignment horizontal="center"/>
    </xf>
    <xf numFmtId="2" fontId="26" fillId="2" borderId="0" xfId="0" applyNumberFormat="1" applyFont="1" applyFill="1" applyBorder="1" applyAlignment="1">
      <alignment horizontal="center" vertical="center"/>
    </xf>
    <xf numFmtId="0" fontId="26" fillId="2" borderId="0" xfId="0" applyFont="1" applyFill="1" applyBorder="1" applyAlignment="1">
      <alignment horizontal="center" vertical="center"/>
    </xf>
    <xf numFmtId="2" fontId="26" fillId="2" borderId="0" xfId="0" applyNumberFormat="1" applyFont="1" applyFill="1" applyBorder="1" applyAlignment="1">
      <alignment horizontal="center"/>
    </xf>
    <xf numFmtId="0" fontId="78" fillId="2" borderId="0" xfId="0" applyFont="1" applyFill="1" applyBorder="1" applyAlignment="1">
      <alignment horizontal="center"/>
    </xf>
    <xf numFmtId="0" fontId="65" fillId="2" borderId="16" xfId="0" applyFont="1" applyFill="1" applyBorder="1" applyAlignment="1">
      <alignment horizontal="center" vertical="center"/>
    </xf>
    <xf numFmtId="2" fontId="47" fillId="3" borderId="0" xfId="0" applyNumberFormat="1" applyFont="1" applyFill="1" applyBorder="1" applyAlignment="1">
      <alignment horizontal="center"/>
    </xf>
    <xf numFmtId="0" fontId="47" fillId="3" borderId="0" xfId="0" applyFont="1" applyFill="1" applyBorder="1" applyAlignment="1">
      <alignment horizontal="center"/>
    </xf>
    <xf numFmtId="0" fontId="65" fillId="2" borderId="8" xfId="0" applyFont="1" applyFill="1" applyBorder="1" applyAlignment="1">
      <alignment horizontal="center"/>
    </xf>
    <xf numFmtId="0" fontId="65" fillId="2" borderId="0" xfId="0" applyFont="1" applyFill="1" applyBorder="1" applyAlignment="1">
      <alignment horizontal="center"/>
    </xf>
    <xf numFmtId="0" fontId="65" fillId="2" borderId="9" xfId="0" applyFont="1" applyFill="1" applyBorder="1" applyAlignment="1">
      <alignment horizontal="center"/>
    </xf>
    <xf numFmtId="0" fontId="78" fillId="2" borderId="9" xfId="0" applyFont="1" applyFill="1" applyBorder="1" applyAlignment="1">
      <alignment horizontal="center"/>
    </xf>
    <xf numFmtId="0" fontId="78" fillId="2" borderId="8" xfId="0" applyFont="1" applyFill="1" applyBorder="1" applyAlignment="1">
      <alignment horizontal="center"/>
    </xf>
    <xf numFmtId="166" fontId="48" fillId="3" borderId="0" xfId="0" applyNumberFormat="1" applyFont="1" applyFill="1" applyBorder="1" applyAlignment="1">
      <alignment horizontal="center"/>
    </xf>
    <xf numFmtId="2" fontId="26" fillId="2" borderId="9" xfId="0" applyNumberFormat="1" applyFont="1" applyFill="1" applyBorder="1" applyAlignment="1">
      <alignment horizontal="center"/>
    </xf>
    <xf numFmtId="0" fontId="29" fillId="2" borderId="24"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6" xfId="0" applyFont="1" applyFill="1" applyBorder="1" applyAlignment="1">
      <alignment horizontal="center" vertical="center"/>
    </xf>
    <xf numFmtId="0" fontId="29" fillId="2" borderId="1" xfId="0" applyFont="1" applyFill="1" applyBorder="1" applyAlignment="1">
      <alignment horizontal="center" vertical="center"/>
    </xf>
    <xf numFmtId="2" fontId="26" fillId="2" borderId="16" xfId="0" applyNumberFormat="1" applyFont="1" applyFill="1" applyBorder="1" applyAlignment="1">
      <alignment horizontal="center"/>
    </xf>
    <xf numFmtId="0" fontId="20" fillId="2" borderId="0" xfId="0" applyFont="1" applyFill="1" applyBorder="1" applyAlignment="1">
      <alignment horizontal="center"/>
    </xf>
    <xf numFmtId="2" fontId="20" fillId="2" borderId="0" xfId="0" applyNumberFormat="1" applyFont="1" applyFill="1" applyBorder="1" applyAlignment="1">
      <alignment horizontal="center"/>
    </xf>
    <xf numFmtId="0" fontId="63" fillId="0" borderId="5" xfId="0" applyFont="1" applyFill="1" applyBorder="1" applyAlignment="1">
      <alignment horizontal="center" vertical="center"/>
    </xf>
    <xf numFmtId="0" fontId="63" fillId="0" borderId="10" xfId="0" applyFont="1" applyFill="1" applyBorder="1" applyAlignment="1">
      <alignment horizontal="center" vertical="center"/>
    </xf>
    <xf numFmtId="0" fontId="63" fillId="0" borderId="6" xfId="0" applyFont="1" applyFill="1" applyBorder="1" applyAlignment="1">
      <alignment horizontal="center" vertical="center"/>
    </xf>
    <xf numFmtId="0" fontId="63" fillId="0" borderId="24" xfId="0" applyFont="1" applyFill="1" applyBorder="1" applyAlignment="1">
      <alignment horizontal="center" vertical="center"/>
    </xf>
    <xf numFmtId="0" fontId="63" fillId="0" borderId="18" xfId="0" applyFont="1" applyFill="1" applyBorder="1" applyAlignment="1">
      <alignment horizontal="center" vertical="center"/>
    </xf>
    <xf numFmtId="0" fontId="63" fillId="0" borderId="1" xfId="0" applyFont="1" applyFill="1" applyBorder="1" applyAlignment="1">
      <alignment horizontal="center" vertical="center"/>
    </xf>
    <xf numFmtId="0" fontId="88" fillId="2" borderId="0" xfId="0" applyFont="1" applyFill="1" applyBorder="1" applyAlignment="1">
      <alignment horizontal="center"/>
    </xf>
    <xf numFmtId="0" fontId="26" fillId="2" borderId="8" xfId="0" applyFont="1" applyFill="1" applyBorder="1" applyAlignment="1">
      <alignment horizontal="center"/>
    </xf>
    <xf numFmtId="0" fontId="26" fillId="2" borderId="9" xfId="0" applyFont="1" applyFill="1" applyBorder="1" applyAlignment="1">
      <alignment horizontal="center"/>
    </xf>
    <xf numFmtId="166" fontId="67" fillId="2" borderId="0" xfId="0" applyNumberFormat="1" applyFont="1" applyFill="1" applyBorder="1" applyAlignment="1">
      <alignment horizontal="center"/>
    </xf>
    <xf numFmtId="2" fontId="40" fillId="5" borderId="0" xfId="0" applyNumberFormat="1" applyFont="1" applyFill="1" applyBorder="1" applyAlignment="1">
      <alignment horizontal="center"/>
    </xf>
    <xf numFmtId="166" fontId="48" fillId="5" borderId="0" xfId="0" applyNumberFormat="1" applyFont="1" applyFill="1" applyBorder="1" applyAlignment="1">
      <alignment horizontal="center"/>
    </xf>
    <xf numFmtId="0" fontId="40" fillId="5" borderId="0" xfId="0" applyFont="1" applyFill="1" applyBorder="1" applyAlignment="1">
      <alignment horizontal="center"/>
    </xf>
    <xf numFmtId="2" fontId="88" fillId="2" borderId="0" xfId="0" applyNumberFormat="1" applyFont="1" applyFill="1" applyBorder="1" applyAlignment="1">
      <alignment horizontal="center"/>
    </xf>
    <xf numFmtId="172" fontId="99" fillId="0" borderId="0" xfId="0" applyNumberFormat="1" applyFont="1" applyAlignment="1" applyProtection="1">
      <alignment horizontal="right"/>
    </xf>
    <xf numFmtId="0" fontId="0" fillId="0" borderId="0" xfId="0" applyProtection="1"/>
    <xf numFmtId="0" fontId="121" fillId="0" borderId="0" xfId="1" applyFont="1" applyAlignment="1" applyProtection="1"/>
  </cellXfs>
  <cellStyles count="19">
    <cellStyle name="Excel Built-in Hyperlink" xfId="17" xr:uid="{3EB3F8EC-0093-4FEC-B361-82995502032B}"/>
    <cellStyle name="Hyperlink 2" xfId="3" xr:uid="{00000000-0005-0000-0000-000000000000}"/>
    <cellStyle name="Link" xfId="1" builtinId="8"/>
    <cellStyle name="Link 2" xfId="5" xr:uid="{00000000-0005-0000-0000-000002000000}"/>
    <cellStyle name="Standard" xfId="0" builtinId="0"/>
    <cellStyle name="Standard 10" xfId="12" xr:uid="{00000000-0005-0000-0000-00003B000000}"/>
    <cellStyle name="Standard 11" xfId="13" xr:uid="{00000000-0005-0000-0000-00003C000000}"/>
    <cellStyle name="Standard 12" xfId="14" xr:uid="{00000000-0005-0000-0000-00003D000000}"/>
    <cellStyle name="Standard 13" xfId="15" xr:uid="{00000000-0005-0000-0000-00003E000000}"/>
    <cellStyle name="Standard 14" xfId="16" xr:uid="{00000000-0005-0000-0000-00003F000000}"/>
    <cellStyle name="Standard 15" xfId="18" xr:uid="{00000000-0005-0000-0000-000041000000}"/>
    <cellStyle name="Standard 2" xfId="2" xr:uid="{00000000-0005-0000-0000-000004000000}"/>
    <cellStyle name="Standard 3" xfId="4" xr:uid="{00000000-0005-0000-0000-000005000000}"/>
    <cellStyle name="Standard 4" xfId="6" xr:uid="{00000000-0005-0000-0000-000006000000}"/>
    <cellStyle name="Standard 5" xfId="7" xr:uid="{00000000-0005-0000-0000-000036000000}"/>
    <cellStyle name="Standard 6" xfId="8" xr:uid="{00000000-0005-0000-0000-000037000000}"/>
    <cellStyle name="Standard 7" xfId="9" xr:uid="{00000000-0005-0000-0000-000038000000}"/>
    <cellStyle name="Standard 8" xfId="10" xr:uid="{00000000-0005-0000-0000-000039000000}"/>
    <cellStyle name="Standard 9" xfId="11" xr:uid="{00000000-0005-0000-0000-00003A000000}"/>
  </cellStyles>
  <dxfs count="116">
    <dxf>
      <font>
        <color theme="0"/>
      </font>
    </dxf>
    <dxf>
      <font>
        <color theme="0"/>
      </font>
    </dxf>
    <dxf>
      <font>
        <color theme="0"/>
      </font>
    </dxf>
    <dxf>
      <font>
        <b/>
        <i val="0"/>
        <color theme="1"/>
      </font>
      <fill>
        <patternFill>
          <bgColor rgb="FFC00000"/>
        </patternFill>
      </fill>
    </dxf>
    <dxf>
      <fill>
        <patternFill>
          <bgColor rgb="FFC00000"/>
        </patternFill>
      </fill>
    </dxf>
    <dxf>
      <font>
        <color rgb="FFC00000"/>
      </font>
    </dxf>
    <dxf>
      <font>
        <color rgb="FFC00000"/>
      </font>
    </dxf>
    <dxf>
      <font>
        <color rgb="FFC00000"/>
      </font>
    </dxf>
    <dxf>
      <font>
        <color rgb="FFC00000"/>
      </font>
    </dxf>
    <dxf>
      <font>
        <color rgb="FFC00000"/>
      </font>
    </dxf>
    <dxf>
      <font>
        <color rgb="FFC00000"/>
      </font>
    </dxf>
    <dxf>
      <font>
        <color auto="1"/>
      </font>
      <fill>
        <patternFill patternType="none">
          <bgColor indexed="65"/>
        </patternFill>
      </fill>
    </dxf>
    <dxf>
      <font>
        <color rgb="FFC00000"/>
      </font>
      <fill>
        <patternFill patternType="none">
          <bgColor indexed="65"/>
        </patternFill>
      </fill>
    </dxf>
    <dxf>
      <font>
        <color auto="1"/>
      </font>
      <fill>
        <patternFill patternType="none">
          <bgColor indexed="65"/>
        </patternFill>
      </fill>
    </dxf>
    <dxf>
      <font>
        <color rgb="FFC00000"/>
      </font>
      <fill>
        <patternFill patternType="none">
          <bgColor indexed="65"/>
        </patternFill>
      </fill>
    </dxf>
    <dxf>
      <font>
        <color theme="0"/>
      </font>
    </dxf>
    <dxf>
      <font>
        <color theme="0"/>
      </font>
    </dxf>
    <dxf>
      <font>
        <b/>
        <i val="0"/>
        <color theme="1"/>
      </font>
      <fill>
        <patternFill>
          <bgColor rgb="FFC00000"/>
        </patternFill>
      </fill>
    </dxf>
    <dxf>
      <fill>
        <patternFill>
          <bgColor rgb="FFC00000"/>
        </patternFill>
      </fill>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fill>
        <patternFill patternType="none">
          <bgColor indexed="65"/>
        </patternFill>
      </fill>
    </dxf>
    <dxf>
      <font>
        <color rgb="FFC00000"/>
      </font>
      <fill>
        <patternFill patternType="none">
          <bgColor indexed="65"/>
        </patternFill>
      </fill>
    </dxf>
    <dxf>
      <font>
        <color auto="1"/>
      </font>
      <fill>
        <patternFill patternType="none">
          <bgColor indexed="65"/>
        </patternFill>
      </fill>
    </dxf>
    <dxf>
      <font>
        <color rgb="FFC00000"/>
      </font>
      <fill>
        <patternFill patternType="none">
          <bgColor indexed="65"/>
        </patternFill>
      </fill>
    </dxf>
    <dxf>
      <font>
        <color theme="0"/>
      </font>
    </dxf>
    <dxf>
      <font>
        <color theme="0"/>
      </font>
    </dxf>
    <dxf>
      <font>
        <b/>
        <i val="0"/>
        <color theme="1"/>
      </font>
      <fill>
        <patternFill>
          <bgColor rgb="FFC00000"/>
        </patternFill>
      </fill>
    </dxf>
    <dxf>
      <fill>
        <patternFill>
          <bgColor rgb="FFC00000"/>
        </patternFill>
      </fill>
    </dxf>
    <dxf>
      <font>
        <color rgb="FFC00000"/>
      </font>
    </dxf>
    <dxf>
      <font>
        <color rgb="FFC00000"/>
      </font>
    </dxf>
    <dxf>
      <font>
        <color rgb="FFC00000"/>
      </font>
    </dxf>
    <dxf>
      <font>
        <color rgb="FFC00000"/>
      </font>
    </dxf>
    <dxf>
      <font>
        <color rgb="FFC00000"/>
      </font>
    </dxf>
    <dxf>
      <font>
        <color rgb="FFC00000"/>
      </font>
    </dxf>
    <dxf>
      <font>
        <color auto="1"/>
      </font>
      <fill>
        <patternFill patternType="none">
          <bgColor indexed="65"/>
        </patternFill>
      </fill>
    </dxf>
    <dxf>
      <font>
        <color rgb="FFC00000"/>
      </font>
      <fill>
        <patternFill patternType="none">
          <bgColor indexed="65"/>
        </patternFill>
      </fill>
    </dxf>
    <dxf>
      <font>
        <color theme="0"/>
      </font>
    </dxf>
    <dxf>
      <font>
        <color theme="0"/>
      </font>
    </dxf>
    <dxf>
      <font>
        <b/>
        <i val="0"/>
        <color theme="1"/>
      </font>
      <fill>
        <patternFill>
          <bgColor rgb="FFC00000"/>
        </patternFill>
      </fill>
    </dxf>
    <dxf>
      <font>
        <color rgb="FFC00000"/>
      </font>
    </dxf>
    <dxf>
      <fill>
        <patternFill>
          <bgColor rgb="FFC00000"/>
        </patternFill>
      </fill>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fill>
        <patternFill patternType="none">
          <bgColor indexed="65"/>
        </patternFill>
      </fill>
    </dxf>
    <dxf>
      <font>
        <color rgb="FFC00000"/>
      </font>
      <fill>
        <patternFill patternType="none">
          <bgColor indexed="65"/>
        </patternFill>
      </fill>
    </dxf>
    <dxf>
      <font>
        <color theme="0"/>
      </font>
    </dxf>
    <dxf>
      <fill>
        <patternFill patternType="none">
          <bgColor auto="1"/>
        </patternFill>
      </fill>
    </dxf>
    <dxf>
      <font>
        <color theme="0"/>
      </font>
    </dxf>
    <dxf>
      <font>
        <color theme="0"/>
      </font>
    </dxf>
    <dxf>
      <fill>
        <patternFill>
          <bgColor theme="0"/>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strike val="0"/>
        <condense val="0"/>
        <extend val="0"/>
        <color indexed="9"/>
      </font>
      <fill>
        <patternFill>
          <bgColor indexed="9"/>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theme="0"/>
      </font>
      <fill>
        <patternFill>
          <bgColor rgb="FFC00000"/>
        </patternFill>
      </fill>
    </dxf>
    <dxf>
      <font>
        <color auto="1"/>
      </font>
    </dxf>
    <dxf>
      <font>
        <condense val="0"/>
        <extend val="0"/>
        <color indexed="9"/>
      </font>
      <fill>
        <patternFill>
          <bgColor indexed="9"/>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theme="0"/>
      </font>
      <fill>
        <patternFill>
          <bgColor rgb="FFC00000"/>
        </patternFill>
      </fill>
    </dxf>
    <dxf>
      <font>
        <color auto="1"/>
      </font>
    </dxf>
    <dxf>
      <font>
        <strike val="0"/>
        <condense val="0"/>
        <extend val="0"/>
        <color indexed="9"/>
      </font>
      <fill>
        <patternFill>
          <bgColor indexed="9"/>
        </patternFill>
      </fill>
    </dxf>
    <dxf>
      <font>
        <color rgb="FFC00000"/>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4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5.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6.JPG"/><Relationship Id="rId2" Type="http://schemas.openxmlformats.org/officeDocument/2006/relationships/image" Target="../media/image35.JPG"/><Relationship Id="rId1" Type="http://schemas.openxmlformats.org/officeDocument/2006/relationships/image" Target="../media/image3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8.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40.png"/></Relationships>
</file>

<file path=xl/drawings/_rels/drawing9.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9.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9.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editAs="oneCell">
    <xdr:from>
      <xdr:col>0</xdr:col>
      <xdr:colOff>33616</xdr:colOff>
      <xdr:row>0</xdr:row>
      <xdr:rowOff>44822</xdr:rowOff>
    </xdr:from>
    <xdr:to>
      <xdr:col>20</xdr:col>
      <xdr:colOff>344229</xdr:colOff>
      <xdr:row>56</xdr:row>
      <xdr:rowOff>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3616" y="44822"/>
          <a:ext cx="15550613" cy="8740590"/>
        </a:xfrm>
        <a:prstGeom prst="rect">
          <a:avLst/>
        </a:prstGeom>
        <a:ln>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505238</xdr:colOff>
      <xdr:row>11</xdr:row>
      <xdr:rowOff>2</xdr:rowOff>
    </xdr:from>
    <xdr:to>
      <xdr:col>8</xdr:col>
      <xdr:colOff>662608</xdr:colOff>
      <xdr:row>25</xdr:row>
      <xdr:rowOff>100392</xdr:rowOff>
    </xdr:to>
    <xdr:pic>
      <xdr:nvPicPr>
        <xdr:cNvPr id="7" name="Grafi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stretch>
          <a:fillRect/>
        </a:stretch>
      </xdr:blipFill>
      <xdr:spPr>
        <a:xfrm>
          <a:off x="604629" y="1441176"/>
          <a:ext cx="4605131" cy="2419520"/>
        </a:xfrm>
        <a:prstGeom prst="rect">
          <a:avLst/>
        </a:prstGeom>
      </xdr:spPr>
    </xdr:pic>
    <xdr:clientData/>
  </xdr:twoCellAnchor>
  <xdr:twoCellAnchor editAs="oneCell">
    <xdr:from>
      <xdr:col>6</xdr:col>
      <xdr:colOff>335015</xdr:colOff>
      <xdr:row>31</xdr:row>
      <xdr:rowOff>19708</xdr:rowOff>
    </xdr:from>
    <xdr:to>
      <xdr:col>9</xdr:col>
      <xdr:colOff>128157</xdr:colOff>
      <xdr:row>53</xdr:row>
      <xdr:rowOff>157655</xdr:rowOff>
    </xdr:to>
    <xdr:pic>
      <xdr:nvPicPr>
        <xdr:cNvPr id="5" name="Grafik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3271343" y="4585139"/>
          <a:ext cx="2197383" cy="38559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22</xdr:col>
      <xdr:colOff>620326</xdr:colOff>
      <xdr:row>9</xdr:row>
      <xdr:rowOff>799</xdr:rowOff>
    </xdr:from>
    <xdr:to>
      <xdr:col>24</xdr:col>
      <xdr:colOff>711093</xdr:colOff>
      <xdr:row>21</xdr:row>
      <xdr:rowOff>110553</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21344005" y="1579228"/>
          <a:ext cx="1614767" cy="24637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69004</xdr:colOff>
      <xdr:row>4</xdr:row>
      <xdr:rowOff>109727</xdr:rowOff>
    </xdr:from>
    <xdr:to>
      <xdr:col>2</xdr:col>
      <xdr:colOff>58522</xdr:colOff>
      <xdr:row>24</xdr:row>
      <xdr:rowOff>66489</xdr:rowOff>
    </xdr:to>
    <xdr:pic>
      <xdr:nvPicPr>
        <xdr:cNvPr id="2" name="Grafik 1">
          <a:extLst>
            <a:ext uri="{FF2B5EF4-FFF2-40B4-BE49-F238E27FC236}">
              <a16:creationId xmlns:a16="http://schemas.microsoft.com/office/drawing/2014/main" id="{5169363F-BD4F-486F-A6A0-647B68D264C0}"/>
            </a:ext>
          </a:extLst>
        </xdr:cNvPr>
        <xdr:cNvPicPr>
          <a:picLocks noChangeAspect="1"/>
        </xdr:cNvPicPr>
      </xdr:nvPicPr>
      <xdr:blipFill>
        <a:blip xmlns:r="http://schemas.openxmlformats.org/officeDocument/2006/relationships" r:embed="rId1"/>
        <a:stretch>
          <a:fillRect/>
        </a:stretch>
      </xdr:blipFill>
      <xdr:spPr>
        <a:xfrm>
          <a:off x="7135487" y="841247"/>
          <a:ext cx="2227969" cy="3175450"/>
        </a:xfrm>
        <a:prstGeom prst="rect">
          <a:avLst/>
        </a:prstGeom>
        <a:ln>
          <a:solidFill>
            <a:schemeClr val="tx1"/>
          </a:solidFill>
        </a:ln>
      </xdr:spPr>
    </xdr:pic>
    <xdr:clientData/>
  </xdr:twoCellAnchor>
  <xdr:twoCellAnchor editAs="oneCell">
    <xdr:from>
      <xdr:col>2</xdr:col>
      <xdr:colOff>148853</xdr:colOff>
      <xdr:row>4</xdr:row>
      <xdr:rowOff>109727</xdr:rowOff>
    </xdr:from>
    <xdr:to>
      <xdr:col>3</xdr:col>
      <xdr:colOff>122060</xdr:colOff>
      <xdr:row>24</xdr:row>
      <xdr:rowOff>65837</xdr:rowOff>
    </xdr:to>
    <xdr:pic>
      <xdr:nvPicPr>
        <xdr:cNvPr id="6" name="Grafik 5">
          <a:extLst>
            <a:ext uri="{FF2B5EF4-FFF2-40B4-BE49-F238E27FC236}">
              <a16:creationId xmlns:a16="http://schemas.microsoft.com/office/drawing/2014/main" id="{AF297362-CEEC-499F-B890-4D8798148DFD}"/>
            </a:ext>
          </a:extLst>
        </xdr:cNvPr>
        <xdr:cNvPicPr>
          <a:picLocks noChangeAspect="1"/>
        </xdr:cNvPicPr>
      </xdr:nvPicPr>
      <xdr:blipFill>
        <a:blip xmlns:r="http://schemas.openxmlformats.org/officeDocument/2006/relationships" r:embed="rId2"/>
        <a:stretch>
          <a:fillRect/>
        </a:stretch>
      </xdr:blipFill>
      <xdr:spPr>
        <a:xfrm>
          <a:off x="3484584" y="819301"/>
          <a:ext cx="2211658" cy="3174798"/>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650100</xdr:colOff>
      <xdr:row>43</xdr:row>
      <xdr:rowOff>101679</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2180953" cy="684762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19558</xdr:colOff>
      <xdr:row>0</xdr:row>
      <xdr:rowOff>10206</xdr:rowOff>
    </xdr:from>
    <xdr:to>
      <xdr:col>10</xdr:col>
      <xdr:colOff>19979</xdr:colOff>
      <xdr:row>27</xdr:row>
      <xdr:rowOff>11740</xdr:rowOff>
    </xdr:to>
    <xdr:pic>
      <xdr:nvPicPr>
        <xdr:cNvPr id="4" name="Grafik 3">
          <a:extLst>
            <a:ext uri="{FF2B5EF4-FFF2-40B4-BE49-F238E27FC236}">
              <a16:creationId xmlns:a16="http://schemas.microsoft.com/office/drawing/2014/main" id="{5BA36476-0726-464C-BA96-24CA7D65B84F}"/>
            </a:ext>
          </a:extLst>
        </xdr:cNvPr>
        <xdr:cNvPicPr>
          <a:picLocks noChangeAspect="1"/>
        </xdr:cNvPicPr>
      </xdr:nvPicPr>
      <xdr:blipFill>
        <a:blip xmlns:r="http://schemas.openxmlformats.org/officeDocument/2006/relationships" r:embed="rId1"/>
        <a:stretch>
          <a:fillRect/>
        </a:stretch>
      </xdr:blipFill>
      <xdr:spPr>
        <a:xfrm>
          <a:off x="19558" y="10206"/>
          <a:ext cx="7661736" cy="4295239"/>
        </a:xfrm>
        <a:prstGeom prst="rect">
          <a:avLst/>
        </a:prstGeom>
        <a:ln>
          <a:solidFill>
            <a:schemeClr val="tx1"/>
          </a:solidFill>
        </a:ln>
      </xdr:spPr>
    </xdr:pic>
    <xdr:clientData/>
  </xdr:twoCellAnchor>
  <xdr:twoCellAnchor editAs="oneCell">
    <xdr:from>
      <xdr:col>0</xdr:col>
      <xdr:colOff>15308</xdr:colOff>
      <xdr:row>27</xdr:row>
      <xdr:rowOff>35552</xdr:rowOff>
    </xdr:from>
    <xdr:to>
      <xdr:col>10</xdr:col>
      <xdr:colOff>24465</xdr:colOff>
      <xdr:row>54</xdr:row>
      <xdr:rowOff>67280</xdr:rowOff>
    </xdr:to>
    <xdr:pic>
      <xdr:nvPicPr>
        <xdr:cNvPr id="8" name="Grafik 7">
          <a:extLst>
            <a:ext uri="{FF2B5EF4-FFF2-40B4-BE49-F238E27FC236}">
              <a16:creationId xmlns:a16="http://schemas.microsoft.com/office/drawing/2014/main" id="{DAE7E739-C2F4-4482-95CA-533FB0F26749}"/>
            </a:ext>
          </a:extLst>
        </xdr:cNvPr>
        <xdr:cNvPicPr>
          <a:picLocks noChangeAspect="1"/>
        </xdr:cNvPicPr>
      </xdr:nvPicPr>
      <xdr:blipFill>
        <a:blip xmlns:r="http://schemas.openxmlformats.org/officeDocument/2006/relationships" r:embed="rId2"/>
        <a:stretch>
          <a:fillRect/>
        </a:stretch>
      </xdr:blipFill>
      <xdr:spPr>
        <a:xfrm>
          <a:off x="15308" y="4329257"/>
          <a:ext cx="7666875" cy="4325431"/>
        </a:xfrm>
        <a:prstGeom prst="rect">
          <a:avLst/>
        </a:prstGeom>
        <a:ln>
          <a:solidFill>
            <a:schemeClr val="tx1"/>
          </a:solidFill>
        </a:ln>
      </xdr:spPr>
    </xdr:pic>
    <xdr:clientData/>
  </xdr:twoCellAnchor>
  <xdr:twoCellAnchor editAs="oneCell">
    <xdr:from>
      <xdr:col>0</xdr:col>
      <xdr:colOff>20574</xdr:colOff>
      <xdr:row>54</xdr:row>
      <xdr:rowOff>90079</xdr:rowOff>
    </xdr:from>
    <xdr:to>
      <xdr:col>10</xdr:col>
      <xdr:colOff>36698</xdr:colOff>
      <xdr:row>81</xdr:row>
      <xdr:rowOff>72563</xdr:rowOff>
    </xdr:to>
    <xdr:pic>
      <xdr:nvPicPr>
        <xdr:cNvPr id="9" name="Grafik 8">
          <a:extLst>
            <a:ext uri="{FF2B5EF4-FFF2-40B4-BE49-F238E27FC236}">
              <a16:creationId xmlns:a16="http://schemas.microsoft.com/office/drawing/2014/main" id="{1DA23404-168A-4783-8E06-056B91D1ABC4}"/>
            </a:ext>
          </a:extLst>
        </xdr:cNvPr>
        <xdr:cNvPicPr>
          <a:picLocks noChangeAspect="1"/>
        </xdr:cNvPicPr>
      </xdr:nvPicPr>
      <xdr:blipFill>
        <a:blip xmlns:r="http://schemas.openxmlformats.org/officeDocument/2006/relationships" r:embed="rId3"/>
        <a:stretch>
          <a:fillRect/>
        </a:stretch>
      </xdr:blipFill>
      <xdr:spPr>
        <a:xfrm>
          <a:off x="20574" y="8677487"/>
          <a:ext cx="7673842" cy="4276189"/>
        </a:xfrm>
        <a:prstGeom prst="rect">
          <a:avLst/>
        </a:prstGeom>
        <a:ln>
          <a:solidFill>
            <a:schemeClr val="tx1"/>
          </a:solidFill>
        </a:ln>
      </xdr:spPr>
    </xdr:pic>
    <xdr:clientData/>
  </xdr:twoCellAnchor>
  <xdr:twoCellAnchor editAs="oneCell">
    <xdr:from>
      <xdr:col>0</xdr:col>
      <xdr:colOff>18906</xdr:colOff>
      <xdr:row>81</xdr:row>
      <xdr:rowOff>95080</xdr:rowOff>
    </xdr:from>
    <xdr:to>
      <xdr:col>10</xdr:col>
      <xdr:colOff>42813</xdr:colOff>
      <xdr:row>108</xdr:row>
      <xdr:rowOff>99920</xdr:rowOff>
    </xdr:to>
    <xdr:pic>
      <xdr:nvPicPr>
        <xdr:cNvPr id="14" name="Grafik 13">
          <a:extLst>
            <a:ext uri="{FF2B5EF4-FFF2-40B4-BE49-F238E27FC236}">
              <a16:creationId xmlns:a16="http://schemas.microsoft.com/office/drawing/2014/main" id="{B17D3D52-A46A-4834-8339-F2990B618D87}"/>
            </a:ext>
          </a:extLst>
        </xdr:cNvPr>
        <xdr:cNvPicPr>
          <a:picLocks noChangeAspect="1"/>
        </xdr:cNvPicPr>
      </xdr:nvPicPr>
      <xdr:blipFill>
        <a:blip xmlns:r="http://schemas.openxmlformats.org/officeDocument/2006/relationships" r:embed="rId4"/>
        <a:stretch>
          <a:fillRect/>
        </a:stretch>
      </xdr:blipFill>
      <xdr:spPr>
        <a:xfrm>
          <a:off x="18906" y="12976193"/>
          <a:ext cx="7681625" cy="4298545"/>
        </a:xfrm>
        <a:prstGeom prst="rect">
          <a:avLst/>
        </a:prstGeom>
        <a:ln>
          <a:solidFill>
            <a:schemeClr val="tx1"/>
          </a:solidFill>
        </a:ln>
      </xdr:spPr>
    </xdr:pic>
    <xdr:clientData/>
  </xdr:twoCellAnchor>
  <xdr:twoCellAnchor editAs="oneCell">
    <xdr:from>
      <xdr:col>0</xdr:col>
      <xdr:colOff>18905</xdr:colOff>
      <xdr:row>108</xdr:row>
      <xdr:rowOff>110650</xdr:rowOff>
    </xdr:from>
    <xdr:to>
      <xdr:col>10</xdr:col>
      <xdr:colOff>48930</xdr:colOff>
      <xdr:row>135</xdr:row>
      <xdr:rowOff>136970</xdr:rowOff>
    </xdr:to>
    <xdr:pic>
      <xdr:nvPicPr>
        <xdr:cNvPr id="20" name="Grafik 19">
          <a:extLst>
            <a:ext uri="{FF2B5EF4-FFF2-40B4-BE49-F238E27FC236}">
              <a16:creationId xmlns:a16="http://schemas.microsoft.com/office/drawing/2014/main" id="{BB56D9F2-AE41-4751-A667-898015E10D33}"/>
            </a:ext>
          </a:extLst>
        </xdr:cNvPr>
        <xdr:cNvPicPr>
          <a:picLocks noChangeAspect="1"/>
        </xdr:cNvPicPr>
      </xdr:nvPicPr>
      <xdr:blipFill>
        <a:blip xmlns:r="http://schemas.openxmlformats.org/officeDocument/2006/relationships" r:embed="rId5"/>
        <a:stretch>
          <a:fillRect/>
        </a:stretch>
      </xdr:blipFill>
      <xdr:spPr>
        <a:xfrm>
          <a:off x="18905" y="17285468"/>
          <a:ext cx="7687743" cy="4320024"/>
        </a:xfrm>
        <a:prstGeom prst="rect">
          <a:avLst/>
        </a:prstGeom>
        <a:ln>
          <a:solidFill>
            <a:schemeClr val="tx1"/>
          </a:solidFill>
        </a:ln>
      </xdr:spPr>
    </xdr:pic>
    <xdr:clientData/>
  </xdr:twoCellAnchor>
  <xdr:twoCellAnchor editAs="oneCell">
    <xdr:from>
      <xdr:col>0</xdr:col>
      <xdr:colOff>16682</xdr:colOff>
      <xdr:row>162</xdr:row>
      <xdr:rowOff>158469</xdr:rowOff>
    </xdr:from>
    <xdr:to>
      <xdr:col>10</xdr:col>
      <xdr:colOff>61164</xdr:colOff>
      <xdr:row>189</xdr:row>
      <xdr:rowOff>145894</xdr:rowOff>
    </xdr:to>
    <xdr:pic>
      <xdr:nvPicPr>
        <xdr:cNvPr id="23" name="Grafik 22">
          <a:extLst>
            <a:ext uri="{FF2B5EF4-FFF2-40B4-BE49-F238E27FC236}">
              <a16:creationId xmlns:a16="http://schemas.microsoft.com/office/drawing/2014/main" id="{54E0A00E-D1E9-43B6-9189-01237E3EFB45}"/>
            </a:ext>
          </a:extLst>
        </xdr:cNvPr>
        <xdr:cNvPicPr>
          <a:picLocks noChangeAspect="1"/>
        </xdr:cNvPicPr>
      </xdr:nvPicPr>
      <xdr:blipFill>
        <a:blip xmlns:r="http://schemas.openxmlformats.org/officeDocument/2006/relationships" r:embed="rId6"/>
        <a:stretch>
          <a:fillRect/>
        </a:stretch>
      </xdr:blipFill>
      <xdr:spPr>
        <a:xfrm>
          <a:off x="16682" y="25920695"/>
          <a:ext cx="7702200" cy="4281130"/>
        </a:xfrm>
        <a:prstGeom prst="rect">
          <a:avLst/>
        </a:prstGeom>
        <a:ln>
          <a:solidFill>
            <a:schemeClr val="tx1"/>
          </a:solidFill>
        </a:ln>
      </xdr:spPr>
    </xdr:pic>
    <xdr:clientData/>
  </xdr:twoCellAnchor>
  <xdr:twoCellAnchor editAs="oneCell">
    <xdr:from>
      <xdr:col>0</xdr:col>
      <xdr:colOff>16126</xdr:colOff>
      <xdr:row>190</xdr:row>
      <xdr:rowOff>8893</xdr:rowOff>
    </xdr:from>
    <xdr:to>
      <xdr:col>10</xdr:col>
      <xdr:colOff>67280</xdr:colOff>
      <xdr:row>217</xdr:row>
      <xdr:rowOff>33225</xdr:rowOff>
    </xdr:to>
    <xdr:pic>
      <xdr:nvPicPr>
        <xdr:cNvPr id="24" name="Grafik 23">
          <a:extLst>
            <a:ext uri="{FF2B5EF4-FFF2-40B4-BE49-F238E27FC236}">
              <a16:creationId xmlns:a16="http://schemas.microsoft.com/office/drawing/2014/main" id="{A98208D7-BCF2-404A-9CB3-1B1D2E3D3E4B}"/>
            </a:ext>
          </a:extLst>
        </xdr:cNvPr>
        <xdr:cNvPicPr>
          <a:picLocks noChangeAspect="1"/>
        </xdr:cNvPicPr>
      </xdr:nvPicPr>
      <xdr:blipFill>
        <a:blip xmlns:r="http://schemas.openxmlformats.org/officeDocument/2006/relationships" r:embed="rId7"/>
        <a:stretch>
          <a:fillRect/>
        </a:stretch>
      </xdr:blipFill>
      <xdr:spPr>
        <a:xfrm>
          <a:off x="16126" y="30223849"/>
          <a:ext cx="7708872" cy="4318037"/>
        </a:xfrm>
        <a:prstGeom prst="rect">
          <a:avLst/>
        </a:prstGeom>
        <a:ln>
          <a:solidFill>
            <a:schemeClr val="tx1"/>
          </a:solidFill>
        </a:ln>
      </xdr:spPr>
    </xdr:pic>
    <xdr:clientData/>
  </xdr:twoCellAnchor>
  <xdr:twoCellAnchor editAs="oneCell">
    <xdr:from>
      <xdr:col>0</xdr:col>
      <xdr:colOff>19462</xdr:colOff>
      <xdr:row>217</xdr:row>
      <xdr:rowOff>51157</xdr:rowOff>
    </xdr:from>
    <xdr:to>
      <xdr:col>10</xdr:col>
      <xdr:colOff>73396</xdr:colOff>
      <xdr:row>244</xdr:row>
      <xdr:rowOff>67404</xdr:rowOff>
    </xdr:to>
    <xdr:pic>
      <xdr:nvPicPr>
        <xdr:cNvPr id="25" name="Grafik 24">
          <a:extLst>
            <a:ext uri="{FF2B5EF4-FFF2-40B4-BE49-F238E27FC236}">
              <a16:creationId xmlns:a16="http://schemas.microsoft.com/office/drawing/2014/main" id="{1439508E-6316-4EC0-9083-585A156F66D2}"/>
            </a:ext>
          </a:extLst>
        </xdr:cNvPr>
        <xdr:cNvPicPr>
          <a:picLocks noChangeAspect="1"/>
        </xdr:cNvPicPr>
      </xdr:nvPicPr>
      <xdr:blipFill>
        <a:blip xmlns:r="http://schemas.openxmlformats.org/officeDocument/2006/relationships" r:embed="rId8"/>
        <a:stretch>
          <a:fillRect/>
        </a:stretch>
      </xdr:blipFill>
      <xdr:spPr>
        <a:xfrm>
          <a:off x="19462" y="34559818"/>
          <a:ext cx="7711652" cy="4309951"/>
        </a:xfrm>
        <a:prstGeom prst="rect">
          <a:avLst/>
        </a:prstGeom>
        <a:ln>
          <a:solidFill>
            <a:schemeClr val="tx1"/>
          </a:solidFill>
        </a:ln>
      </xdr:spPr>
    </xdr:pic>
    <xdr:clientData/>
  </xdr:twoCellAnchor>
  <xdr:twoCellAnchor editAs="oneCell">
    <xdr:from>
      <xdr:col>0</xdr:col>
      <xdr:colOff>17239</xdr:colOff>
      <xdr:row>244</xdr:row>
      <xdr:rowOff>92301</xdr:rowOff>
    </xdr:from>
    <xdr:to>
      <xdr:col>10</xdr:col>
      <xdr:colOff>79513</xdr:colOff>
      <xdr:row>271</xdr:row>
      <xdr:rowOff>139144</xdr:rowOff>
    </xdr:to>
    <xdr:pic>
      <xdr:nvPicPr>
        <xdr:cNvPr id="28" name="Grafik 27">
          <a:extLst>
            <a:ext uri="{FF2B5EF4-FFF2-40B4-BE49-F238E27FC236}">
              <a16:creationId xmlns:a16="http://schemas.microsoft.com/office/drawing/2014/main" id="{43E59E1A-B148-4165-A875-73DE15E715B8}"/>
            </a:ext>
          </a:extLst>
        </xdr:cNvPr>
        <xdr:cNvPicPr>
          <a:picLocks noChangeAspect="1"/>
        </xdr:cNvPicPr>
      </xdr:nvPicPr>
      <xdr:blipFill>
        <a:blip xmlns:r="http://schemas.openxmlformats.org/officeDocument/2006/relationships" r:embed="rId9"/>
        <a:stretch>
          <a:fillRect/>
        </a:stretch>
      </xdr:blipFill>
      <xdr:spPr>
        <a:xfrm>
          <a:off x="17239" y="38894666"/>
          <a:ext cx="7719992" cy="4340547"/>
        </a:xfrm>
        <a:prstGeom prst="rect">
          <a:avLst/>
        </a:prstGeom>
        <a:ln>
          <a:solidFill>
            <a:schemeClr val="tx1"/>
          </a:solidFill>
        </a:ln>
      </xdr:spPr>
    </xdr:pic>
    <xdr:clientData/>
  </xdr:twoCellAnchor>
  <xdr:twoCellAnchor editAs="oneCell">
    <xdr:from>
      <xdr:col>0</xdr:col>
      <xdr:colOff>15567</xdr:colOff>
      <xdr:row>272</xdr:row>
      <xdr:rowOff>6672</xdr:rowOff>
    </xdr:from>
    <xdr:to>
      <xdr:col>10</xdr:col>
      <xdr:colOff>85628</xdr:colOff>
      <xdr:row>299</xdr:row>
      <xdr:rowOff>26539</xdr:rowOff>
    </xdr:to>
    <xdr:pic>
      <xdr:nvPicPr>
        <xdr:cNvPr id="29" name="Grafik 28">
          <a:extLst>
            <a:ext uri="{FF2B5EF4-FFF2-40B4-BE49-F238E27FC236}">
              <a16:creationId xmlns:a16="http://schemas.microsoft.com/office/drawing/2014/main" id="{268A27E5-A7A4-40DC-9B3F-7CA106B59764}"/>
            </a:ext>
          </a:extLst>
        </xdr:cNvPr>
        <xdr:cNvPicPr>
          <a:picLocks noChangeAspect="1"/>
        </xdr:cNvPicPr>
      </xdr:nvPicPr>
      <xdr:blipFill>
        <a:blip xmlns:r="http://schemas.openxmlformats.org/officeDocument/2006/relationships" r:embed="rId10"/>
        <a:stretch>
          <a:fillRect/>
        </a:stretch>
      </xdr:blipFill>
      <xdr:spPr>
        <a:xfrm>
          <a:off x="15567" y="43261767"/>
          <a:ext cx="7727779" cy="4313572"/>
        </a:xfrm>
        <a:prstGeom prst="rect">
          <a:avLst/>
        </a:prstGeom>
        <a:ln>
          <a:solidFill>
            <a:schemeClr val="tx1"/>
          </a:solidFill>
        </a:ln>
      </xdr:spPr>
    </xdr:pic>
    <xdr:clientData/>
  </xdr:twoCellAnchor>
  <xdr:twoCellAnchor editAs="oneCell">
    <xdr:from>
      <xdr:col>0</xdr:col>
      <xdr:colOff>19461</xdr:colOff>
      <xdr:row>299</xdr:row>
      <xdr:rowOff>43926</xdr:rowOff>
    </xdr:from>
    <xdr:to>
      <xdr:col>10</xdr:col>
      <xdr:colOff>91746</xdr:colOff>
      <xdr:row>326</xdr:row>
      <xdr:rowOff>76992</xdr:rowOff>
    </xdr:to>
    <xdr:pic>
      <xdr:nvPicPr>
        <xdr:cNvPr id="30" name="Grafik 29">
          <a:extLst>
            <a:ext uri="{FF2B5EF4-FFF2-40B4-BE49-F238E27FC236}">
              <a16:creationId xmlns:a16="http://schemas.microsoft.com/office/drawing/2014/main" id="{1195E0F3-6867-4F4F-89DE-E9F6620073B7}"/>
            </a:ext>
          </a:extLst>
        </xdr:cNvPr>
        <xdr:cNvPicPr>
          <a:picLocks noChangeAspect="1"/>
        </xdr:cNvPicPr>
      </xdr:nvPicPr>
      <xdr:blipFill>
        <a:blip xmlns:r="http://schemas.openxmlformats.org/officeDocument/2006/relationships" r:embed="rId11"/>
        <a:stretch>
          <a:fillRect/>
        </a:stretch>
      </xdr:blipFill>
      <xdr:spPr>
        <a:xfrm>
          <a:off x="19461" y="47592726"/>
          <a:ext cx="7730003" cy="4326771"/>
        </a:xfrm>
        <a:prstGeom prst="rect">
          <a:avLst/>
        </a:prstGeom>
        <a:ln>
          <a:solidFill>
            <a:schemeClr val="tx1"/>
          </a:solidFill>
        </a:ln>
      </xdr:spPr>
    </xdr:pic>
    <xdr:clientData/>
  </xdr:twoCellAnchor>
  <xdr:twoCellAnchor editAs="oneCell">
    <xdr:from>
      <xdr:col>0</xdr:col>
      <xdr:colOff>16680</xdr:colOff>
      <xdr:row>326</xdr:row>
      <xdr:rowOff>97862</xdr:rowOff>
    </xdr:from>
    <xdr:to>
      <xdr:col>10</xdr:col>
      <xdr:colOff>97862</xdr:colOff>
      <xdr:row>353</xdr:row>
      <xdr:rowOff>132455</xdr:rowOff>
    </xdr:to>
    <xdr:pic>
      <xdr:nvPicPr>
        <xdr:cNvPr id="31" name="Grafik 30">
          <a:extLst>
            <a:ext uri="{FF2B5EF4-FFF2-40B4-BE49-F238E27FC236}">
              <a16:creationId xmlns:a16="http://schemas.microsoft.com/office/drawing/2014/main" id="{F564A743-C88A-41B7-996D-B595A9FC2D2C}"/>
            </a:ext>
          </a:extLst>
        </xdr:cNvPr>
        <xdr:cNvPicPr>
          <a:picLocks noChangeAspect="1"/>
        </xdr:cNvPicPr>
      </xdr:nvPicPr>
      <xdr:blipFill>
        <a:blip xmlns:r="http://schemas.openxmlformats.org/officeDocument/2006/relationships" r:embed="rId12"/>
        <a:stretch>
          <a:fillRect/>
        </a:stretch>
      </xdr:blipFill>
      <xdr:spPr>
        <a:xfrm>
          <a:off x="16680" y="51940367"/>
          <a:ext cx="7738900" cy="4328296"/>
        </a:xfrm>
        <a:prstGeom prst="rect">
          <a:avLst/>
        </a:prstGeom>
        <a:ln>
          <a:solidFill>
            <a:schemeClr val="tx1"/>
          </a:solidFill>
        </a:ln>
      </xdr:spPr>
    </xdr:pic>
    <xdr:clientData/>
  </xdr:twoCellAnchor>
  <xdr:twoCellAnchor editAs="oneCell">
    <xdr:from>
      <xdr:col>0</xdr:col>
      <xdr:colOff>17238</xdr:colOff>
      <xdr:row>353</xdr:row>
      <xdr:rowOff>157357</xdr:rowOff>
    </xdr:from>
    <xdr:to>
      <xdr:col>10</xdr:col>
      <xdr:colOff>103978</xdr:colOff>
      <xdr:row>381</xdr:row>
      <xdr:rowOff>52277</xdr:rowOff>
    </xdr:to>
    <xdr:pic>
      <xdr:nvPicPr>
        <xdr:cNvPr id="32" name="Grafik 31">
          <a:extLst>
            <a:ext uri="{FF2B5EF4-FFF2-40B4-BE49-F238E27FC236}">
              <a16:creationId xmlns:a16="http://schemas.microsoft.com/office/drawing/2014/main" id="{C6A87D7F-DEDE-4645-A457-114F9A38D5D1}"/>
            </a:ext>
          </a:extLst>
        </xdr:cNvPr>
        <xdr:cNvPicPr>
          <a:picLocks noChangeAspect="1"/>
        </xdr:cNvPicPr>
      </xdr:nvPicPr>
      <xdr:blipFill>
        <a:blip xmlns:r="http://schemas.openxmlformats.org/officeDocument/2006/relationships" r:embed="rId13"/>
        <a:stretch>
          <a:fillRect/>
        </a:stretch>
      </xdr:blipFill>
      <xdr:spPr>
        <a:xfrm>
          <a:off x="17238" y="56293565"/>
          <a:ext cx="7744458" cy="4347651"/>
        </a:xfrm>
        <a:prstGeom prst="rect">
          <a:avLst/>
        </a:prstGeom>
        <a:ln>
          <a:solidFill>
            <a:schemeClr val="tx1"/>
          </a:solidFill>
        </a:ln>
      </xdr:spPr>
    </xdr:pic>
    <xdr:clientData/>
  </xdr:twoCellAnchor>
  <xdr:twoCellAnchor editAs="oneCell">
    <xdr:from>
      <xdr:col>0</xdr:col>
      <xdr:colOff>18349</xdr:colOff>
      <xdr:row>381</xdr:row>
      <xdr:rowOff>81736</xdr:rowOff>
    </xdr:from>
    <xdr:to>
      <xdr:col>10</xdr:col>
      <xdr:colOff>110095</xdr:colOff>
      <xdr:row>408</xdr:row>
      <xdr:rowOff>123385</xdr:rowOff>
    </xdr:to>
    <xdr:pic>
      <xdr:nvPicPr>
        <xdr:cNvPr id="35" name="Grafik 34">
          <a:extLst>
            <a:ext uri="{FF2B5EF4-FFF2-40B4-BE49-F238E27FC236}">
              <a16:creationId xmlns:a16="http://schemas.microsoft.com/office/drawing/2014/main" id="{175DFE24-D5F3-4FC7-9E47-84AC287CD63F}"/>
            </a:ext>
          </a:extLst>
        </xdr:cNvPr>
        <xdr:cNvPicPr>
          <a:picLocks noChangeAspect="1"/>
        </xdr:cNvPicPr>
      </xdr:nvPicPr>
      <xdr:blipFill>
        <a:blip xmlns:r="http://schemas.openxmlformats.org/officeDocument/2006/relationships" r:embed="rId14"/>
        <a:stretch>
          <a:fillRect/>
        </a:stretch>
      </xdr:blipFill>
      <xdr:spPr>
        <a:xfrm>
          <a:off x="18349" y="60670675"/>
          <a:ext cx="7749464" cy="4335354"/>
        </a:xfrm>
        <a:prstGeom prst="rect">
          <a:avLst/>
        </a:prstGeom>
        <a:ln>
          <a:solidFill>
            <a:schemeClr val="tx1"/>
          </a:solidFill>
        </a:ln>
      </xdr:spPr>
    </xdr:pic>
    <xdr:clientData/>
  </xdr:twoCellAnchor>
  <xdr:twoCellAnchor editAs="oneCell">
    <xdr:from>
      <xdr:col>0</xdr:col>
      <xdr:colOff>16681</xdr:colOff>
      <xdr:row>408</xdr:row>
      <xdr:rowOff>147348</xdr:rowOff>
    </xdr:from>
    <xdr:to>
      <xdr:col>10</xdr:col>
      <xdr:colOff>116211</xdr:colOff>
      <xdr:row>436</xdr:row>
      <xdr:rowOff>54902</xdr:rowOff>
    </xdr:to>
    <xdr:pic>
      <xdr:nvPicPr>
        <xdr:cNvPr id="36" name="Grafik 35">
          <a:extLst>
            <a:ext uri="{FF2B5EF4-FFF2-40B4-BE49-F238E27FC236}">
              <a16:creationId xmlns:a16="http://schemas.microsoft.com/office/drawing/2014/main" id="{40B68882-D69C-4946-BDFD-32EB49F45630}"/>
            </a:ext>
          </a:extLst>
        </xdr:cNvPr>
        <xdr:cNvPicPr>
          <a:picLocks noChangeAspect="1"/>
        </xdr:cNvPicPr>
      </xdr:nvPicPr>
      <xdr:blipFill>
        <a:blip xmlns:r="http://schemas.openxmlformats.org/officeDocument/2006/relationships" r:embed="rId15"/>
        <a:stretch>
          <a:fillRect/>
        </a:stretch>
      </xdr:blipFill>
      <xdr:spPr>
        <a:xfrm>
          <a:off x="16681" y="65029992"/>
          <a:ext cx="7757248" cy="4360284"/>
        </a:xfrm>
        <a:prstGeom prst="rect">
          <a:avLst/>
        </a:prstGeom>
        <a:ln>
          <a:solidFill>
            <a:schemeClr val="tx1"/>
          </a:solidFill>
        </a:ln>
      </xdr:spPr>
    </xdr:pic>
    <xdr:clientData/>
  </xdr:twoCellAnchor>
  <xdr:twoCellAnchor editAs="oneCell">
    <xdr:from>
      <xdr:col>0</xdr:col>
      <xdr:colOff>15573</xdr:colOff>
      <xdr:row>436</xdr:row>
      <xdr:rowOff>82293</xdr:rowOff>
    </xdr:from>
    <xdr:to>
      <xdr:col>10</xdr:col>
      <xdr:colOff>122327</xdr:colOff>
      <xdr:row>463</xdr:row>
      <xdr:rowOff>147477</xdr:rowOff>
    </xdr:to>
    <xdr:pic>
      <xdr:nvPicPr>
        <xdr:cNvPr id="42" name="Grafik 41">
          <a:extLst>
            <a:ext uri="{FF2B5EF4-FFF2-40B4-BE49-F238E27FC236}">
              <a16:creationId xmlns:a16="http://schemas.microsoft.com/office/drawing/2014/main" id="{B3FDE8A0-0825-44BC-AEDB-36AE6F87C31A}"/>
            </a:ext>
          </a:extLst>
        </xdr:cNvPr>
        <xdr:cNvPicPr>
          <a:picLocks noChangeAspect="1"/>
        </xdr:cNvPicPr>
      </xdr:nvPicPr>
      <xdr:blipFill>
        <a:blip xmlns:r="http://schemas.openxmlformats.org/officeDocument/2006/relationships" r:embed="rId16"/>
        <a:stretch>
          <a:fillRect/>
        </a:stretch>
      </xdr:blipFill>
      <xdr:spPr>
        <a:xfrm>
          <a:off x="15573" y="69417667"/>
          <a:ext cx="7764472" cy="4358888"/>
        </a:xfrm>
        <a:prstGeom prst="rect">
          <a:avLst/>
        </a:prstGeom>
        <a:ln>
          <a:solidFill>
            <a:schemeClr val="tx1"/>
          </a:solidFill>
        </a:ln>
      </xdr:spPr>
    </xdr:pic>
    <xdr:clientData/>
  </xdr:twoCellAnchor>
  <xdr:twoCellAnchor editAs="oneCell">
    <xdr:from>
      <xdr:col>0</xdr:col>
      <xdr:colOff>20575</xdr:colOff>
      <xdr:row>464</xdr:row>
      <xdr:rowOff>12788</xdr:rowOff>
    </xdr:from>
    <xdr:to>
      <xdr:col>10</xdr:col>
      <xdr:colOff>119506</xdr:colOff>
      <xdr:row>491</xdr:row>
      <xdr:rowOff>67281</xdr:rowOff>
    </xdr:to>
    <xdr:pic>
      <xdr:nvPicPr>
        <xdr:cNvPr id="44" name="Grafik 43">
          <a:extLst>
            <a:ext uri="{FF2B5EF4-FFF2-40B4-BE49-F238E27FC236}">
              <a16:creationId xmlns:a16="http://schemas.microsoft.com/office/drawing/2014/main" id="{A7EA6090-E4A9-4B9E-B01A-58A7454BAE75}"/>
            </a:ext>
          </a:extLst>
        </xdr:cNvPr>
        <xdr:cNvPicPr>
          <a:picLocks noChangeAspect="1"/>
        </xdr:cNvPicPr>
      </xdr:nvPicPr>
      <xdr:blipFill>
        <a:blip xmlns:r="http://schemas.openxmlformats.org/officeDocument/2006/relationships" r:embed="rId17"/>
        <a:stretch>
          <a:fillRect/>
        </a:stretch>
      </xdr:blipFill>
      <xdr:spPr>
        <a:xfrm>
          <a:off x="20575" y="73800893"/>
          <a:ext cx="7756649" cy="4348196"/>
        </a:xfrm>
        <a:prstGeom prst="rect">
          <a:avLst/>
        </a:prstGeom>
        <a:ln>
          <a:solidFill>
            <a:schemeClr val="tx1"/>
          </a:solidFill>
        </a:ln>
      </xdr:spPr>
    </xdr:pic>
    <xdr:clientData/>
  </xdr:twoCellAnchor>
  <xdr:twoCellAnchor editAs="oneCell">
    <xdr:from>
      <xdr:col>0</xdr:col>
      <xdr:colOff>15570</xdr:colOff>
      <xdr:row>491</xdr:row>
      <xdr:rowOff>89521</xdr:rowOff>
    </xdr:from>
    <xdr:to>
      <xdr:col>10</xdr:col>
      <xdr:colOff>128444</xdr:colOff>
      <xdr:row>518</xdr:row>
      <xdr:rowOff>153872</xdr:rowOff>
    </xdr:to>
    <xdr:pic>
      <xdr:nvPicPr>
        <xdr:cNvPr id="45" name="Grafik 44">
          <a:extLst>
            <a:ext uri="{FF2B5EF4-FFF2-40B4-BE49-F238E27FC236}">
              <a16:creationId xmlns:a16="http://schemas.microsoft.com/office/drawing/2014/main" id="{6918F9C8-BFF2-4A38-8283-80E1C44F7963}"/>
            </a:ext>
          </a:extLst>
        </xdr:cNvPr>
        <xdr:cNvPicPr>
          <a:picLocks noChangeAspect="1"/>
        </xdr:cNvPicPr>
      </xdr:nvPicPr>
      <xdr:blipFill>
        <a:blip xmlns:r="http://schemas.openxmlformats.org/officeDocument/2006/relationships" r:embed="rId18"/>
        <a:stretch>
          <a:fillRect/>
        </a:stretch>
      </xdr:blipFill>
      <xdr:spPr>
        <a:xfrm>
          <a:off x="15570" y="78171329"/>
          <a:ext cx="7770592" cy="4358056"/>
        </a:xfrm>
        <a:prstGeom prst="rect">
          <a:avLst/>
        </a:prstGeom>
        <a:ln>
          <a:solidFill>
            <a:schemeClr val="tx1"/>
          </a:solidFill>
        </a:ln>
      </xdr:spPr>
    </xdr:pic>
    <xdr:clientData/>
  </xdr:twoCellAnchor>
  <xdr:twoCellAnchor editAs="oneCell">
    <xdr:from>
      <xdr:col>0</xdr:col>
      <xdr:colOff>15568</xdr:colOff>
      <xdr:row>546</xdr:row>
      <xdr:rowOff>109539</xdr:rowOff>
    </xdr:from>
    <xdr:to>
      <xdr:col>10</xdr:col>
      <xdr:colOff>125713</xdr:colOff>
      <xdr:row>573</xdr:row>
      <xdr:rowOff>152910</xdr:rowOff>
    </xdr:to>
    <xdr:pic>
      <xdr:nvPicPr>
        <xdr:cNvPr id="47" name="Grafik 46">
          <a:extLst>
            <a:ext uri="{FF2B5EF4-FFF2-40B4-BE49-F238E27FC236}">
              <a16:creationId xmlns:a16="http://schemas.microsoft.com/office/drawing/2014/main" id="{7660DAB4-83B7-443E-8FC9-83A29B2807ED}"/>
            </a:ext>
          </a:extLst>
        </xdr:cNvPr>
        <xdr:cNvPicPr>
          <a:picLocks noChangeAspect="1"/>
        </xdr:cNvPicPr>
      </xdr:nvPicPr>
      <xdr:blipFill>
        <a:blip xmlns:r="http://schemas.openxmlformats.org/officeDocument/2006/relationships" r:embed="rId19"/>
        <a:stretch>
          <a:fillRect/>
        </a:stretch>
      </xdr:blipFill>
      <xdr:spPr>
        <a:xfrm>
          <a:off x="15568" y="86937783"/>
          <a:ext cx="7767863" cy="4337075"/>
        </a:xfrm>
        <a:prstGeom prst="rect">
          <a:avLst/>
        </a:prstGeom>
        <a:ln>
          <a:solidFill>
            <a:schemeClr val="tx1"/>
          </a:solidFill>
        </a:ln>
      </xdr:spPr>
    </xdr:pic>
    <xdr:clientData/>
  </xdr:twoCellAnchor>
  <xdr:twoCellAnchor editAs="oneCell">
    <xdr:from>
      <xdr:col>0</xdr:col>
      <xdr:colOff>15568</xdr:colOff>
      <xdr:row>574</xdr:row>
      <xdr:rowOff>13899</xdr:rowOff>
    </xdr:from>
    <xdr:to>
      <xdr:col>10</xdr:col>
      <xdr:colOff>128443</xdr:colOff>
      <xdr:row>601</xdr:row>
      <xdr:rowOff>87981</xdr:rowOff>
    </xdr:to>
    <xdr:pic>
      <xdr:nvPicPr>
        <xdr:cNvPr id="48" name="Grafik 47">
          <a:extLst>
            <a:ext uri="{FF2B5EF4-FFF2-40B4-BE49-F238E27FC236}">
              <a16:creationId xmlns:a16="http://schemas.microsoft.com/office/drawing/2014/main" id="{311CD25E-EE89-4E5C-BB01-B2C34BF156B0}"/>
            </a:ext>
          </a:extLst>
        </xdr:cNvPr>
        <xdr:cNvPicPr>
          <a:picLocks noChangeAspect="1"/>
        </xdr:cNvPicPr>
      </xdr:nvPicPr>
      <xdr:blipFill>
        <a:blip xmlns:r="http://schemas.openxmlformats.org/officeDocument/2006/relationships" r:embed="rId20"/>
        <a:stretch>
          <a:fillRect/>
        </a:stretch>
      </xdr:blipFill>
      <xdr:spPr>
        <a:xfrm>
          <a:off x="15568" y="91294873"/>
          <a:ext cx="7770593" cy="4367786"/>
        </a:xfrm>
        <a:prstGeom prst="rect">
          <a:avLst/>
        </a:prstGeom>
        <a:ln>
          <a:solidFill>
            <a:schemeClr val="tx1"/>
          </a:solidFill>
        </a:ln>
      </xdr:spPr>
    </xdr:pic>
    <xdr:clientData/>
  </xdr:twoCellAnchor>
  <xdr:twoCellAnchor editAs="oneCell">
    <xdr:from>
      <xdr:col>0</xdr:col>
      <xdr:colOff>18906</xdr:colOff>
      <xdr:row>601</xdr:row>
      <xdr:rowOff>102311</xdr:rowOff>
    </xdr:from>
    <xdr:to>
      <xdr:col>10</xdr:col>
      <xdr:colOff>134559</xdr:colOff>
      <xdr:row>628</xdr:row>
      <xdr:rowOff>26955</xdr:rowOff>
    </xdr:to>
    <xdr:pic>
      <xdr:nvPicPr>
        <xdr:cNvPr id="49" name="Grafik 48">
          <a:extLst>
            <a:ext uri="{FF2B5EF4-FFF2-40B4-BE49-F238E27FC236}">
              <a16:creationId xmlns:a16="http://schemas.microsoft.com/office/drawing/2014/main" id="{0EC6A88C-2976-4610-A465-5D5416C12928}"/>
            </a:ext>
          </a:extLst>
        </xdr:cNvPr>
        <xdr:cNvPicPr>
          <a:picLocks noChangeAspect="1"/>
        </xdr:cNvPicPr>
      </xdr:nvPicPr>
      <xdr:blipFill>
        <a:blip xmlns:r="http://schemas.openxmlformats.org/officeDocument/2006/relationships" r:embed="rId21"/>
        <a:stretch>
          <a:fillRect/>
        </a:stretch>
      </xdr:blipFill>
      <xdr:spPr>
        <a:xfrm>
          <a:off x="18906" y="95676989"/>
          <a:ext cx="7773371" cy="4334560"/>
        </a:xfrm>
        <a:prstGeom prst="rect">
          <a:avLst/>
        </a:prstGeom>
        <a:ln>
          <a:solidFill>
            <a:schemeClr val="tx1"/>
          </a:solidFill>
        </a:ln>
      </xdr:spPr>
    </xdr:pic>
    <xdr:clientData/>
  </xdr:twoCellAnchor>
  <xdr:twoCellAnchor editAs="oneCell">
    <xdr:from>
      <xdr:col>0</xdr:col>
      <xdr:colOff>18904</xdr:colOff>
      <xdr:row>628</xdr:row>
      <xdr:rowOff>46149</xdr:rowOff>
    </xdr:from>
    <xdr:to>
      <xdr:col>10</xdr:col>
      <xdr:colOff>134559</xdr:colOff>
      <xdr:row>652</xdr:row>
      <xdr:rowOff>212925</xdr:rowOff>
    </xdr:to>
    <xdr:pic>
      <xdr:nvPicPr>
        <xdr:cNvPr id="50" name="Grafik 49">
          <a:extLst>
            <a:ext uri="{FF2B5EF4-FFF2-40B4-BE49-F238E27FC236}">
              <a16:creationId xmlns:a16="http://schemas.microsoft.com/office/drawing/2014/main" id="{407560F3-D5C6-44A4-A020-E9742936BA14}"/>
            </a:ext>
          </a:extLst>
        </xdr:cNvPr>
        <xdr:cNvPicPr>
          <a:picLocks noChangeAspect="1"/>
        </xdr:cNvPicPr>
      </xdr:nvPicPr>
      <xdr:blipFill>
        <a:blip xmlns:r="http://schemas.openxmlformats.org/officeDocument/2006/relationships" r:embed="rId22"/>
        <a:stretch>
          <a:fillRect/>
        </a:stretch>
      </xdr:blipFill>
      <xdr:spPr>
        <a:xfrm>
          <a:off x="18904" y="100030743"/>
          <a:ext cx="7773373" cy="4411549"/>
        </a:xfrm>
        <a:prstGeom prst="rect">
          <a:avLst/>
        </a:prstGeom>
        <a:ln>
          <a:solidFill>
            <a:schemeClr val="tx1"/>
          </a:solidFill>
        </a:ln>
      </xdr:spPr>
    </xdr:pic>
    <xdr:clientData/>
  </xdr:twoCellAnchor>
  <xdr:twoCellAnchor editAs="oneCell">
    <xdr:from>
      <xdr:col>0</xdr:col>
      <xdr:colOff>18348</xdr:colOff>
      <xdr:row>519</xdr:row>
      <xdr:rowOff>18350</xdr:rowOff>
    </xdr:from>
    <xdr:to>
      <xdr:col>10</xdr:col>
      <xdr:colOff>134559</xdr:colOff>
      <xdr:row>546</xdr:row>
      <xdr:rowOff>83494</xdr:rowOff>
    </xdr:to>
    <xdr:pic>
      <xdr:nvPicPr>
        <xdr:cNvPr id="51" name="Grafik 50">
          <a:extLst>
            <a:ext uri="{FF2B5EF4-FFF2-40B4-BE49-F238E27FC236}">
              <a16:creationId xmlns:a16="http://schemas.microsoft.com/office/drawing/2014/main" id="{D4F4719B-3C4C-48D5-BF44-7D62B9E00DEC}"/>
            </a:ext>
          </a:extLst>
        </xdr:cNvPr>
        <xdr:cNvPicPr>
          <a:picLocks noChangeAspect="1"/>
        </xdr:cNvPicPr>
      </xdr:nvPicPr>
      <xdr:blipFill>
        <a:blip xmlns:r="http://schemas.openxmlformats.org/officeDocument/2006/relationships" r:embed="rId23"/>
        <a:stretch>
          <a:fillRect/>
        </a:stretch>
      </xdr:blipFill>
      <xdr:spPr>
        <a:xfrm>
          <a:off x="18348" y="82552889"/>
          <a:ext cx="7773929" cy="4358849"/>
        </a:xfrm>
        <a:prstGeom prst="rect">
          <a:avLst/>
        </a:prstGeom>
        <a:ln>
          <a:solidFill>
            <a:schemeClr val="tx1"/>
          </a:solidFill>
        </a:ln>
      </xdr:spPr>
    </xdr:pic>
    <xdr:clientData/>
  </xdr:twoCellAnchor>
  <xdr:twoCellAnchor editAs="oneCell">
    <xdr:from>
      <xdr:col>0</xdr:col>
      <xdr:colOff>1222</xdr:colOff>
      <xdr:row>136</xdr:row>
      <xdr:rowOff>895</xdr:rowOff>
    </xdr:from>
    <xdr:to>
      <xdr:col>10</xdr:col>
      <xdr:colOff>48931</xdr:colOff>
      <xdr:row>162</xdr:row>
      <xdr:rowOff>146792</xdr:rowOff>
    </xdr:to>
    <xdr:pic>
      <xdr:nvPicPr>
        <xdr:cNvPr id="3" name="Grafik 2">
          <a:extLst>
            <a:ext uri="{FF2B5EF4-FFF2-40B4-BE49-F238E27FC236}">
              <a16:creationId xmlns:a16="http://schemas.microsoft.com/office/drawing/2014/main" id="{672FFAD5-89D6-4BDC-A7C4-B4698F643B61}"/>
            </a:ext>
          </a:extLst>
        </xdr:cNvPr>
        <xdr:cNvPicPr>
          <a:picLocks noChangeAspect="1"/>
        </xdr:cNvPicPr>
      </xdr:nvPicPr>
      <xdr:blipFill>
        <a:blip xmlns:r="http://schemas.openxmlformats.org/officeDocument/2006/relationships" r:embed="rId24"/>
        <a:stretch>
          <a:fillRect/>
        </a:stretch>
      </xdr:blipFill>
      <xdr:spPr>
        <a:xfrm>
          <a:off x="1222" y="21628443"/>
          <a:ext cx="7705427" cy="4280575"/>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95251</xdr:colOff>
      <xdr:row>8</xdr:row>
      <xdr:rowOff>25062</xdr:rowOff>
    </xdr:from>
    <xdr:to>
      <xdr:col>11</xdr:col>
      <xdr:colOff>167667</xdr:colOff>
      <xdr:row>23</xdr:row>
      <xdr:rowOff>37272</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752976" y="1815762"/>
          <a:ext cx="1463066" cy="2422864"/>
        </a:xfrm>
        <a:prstGeom prst="rect">
          <a:avLst/>
        </a:prstGeom>
        <a:ln>
          <a:solidFill>
            <a:schemeClr val="tx1"/>
          </a:solidFill>
        </a:ln>
      </xdr:spPr>
    </xdr:pic>
    <xdr:clientData/>
  </xdr:twoCellAnchor>
  <xdr:twoCellAnchor editAs="oneCell">
    <xdr:from>
      <xdr:col>1</xdr:col>
      <xdr:colOff>19050</xdr:colOff>
      <xdr:row>49</xdr:row>
      <xdr:rowOff>9525</xdr:rowOff>
    </xdr:from>
    <xdr:to>
      <xdr:col>11</xdr:col>
      <xdr:colOff>589249</xdr:colOff>
      <xdr:row>97</xdr:row>
      <xdr:rowOff>238125</xdr:rowOff>
    </xdr:to>
    <xdr:pic>
      <xdr:nvPicPr>
        <xdr:cNvPr id="12" name="Grafik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57150" y="10448925"/>
          <a:ext cx="6275674" cy="9848850"/>
        </a:xfrm>
        <a:prstGeom prst="rect">
          <a:avLst/>
        </a:prstGeom>
      </xdr:spPr>
    </xdr:pic>
    <xdr:clientData/>
  </xdr:twoCellAnchor>
  <xdr:twoCellAnchor editAs="oneCell">
    <xdr:from>
      <xdr:col>1</xdr:col>
      <xdr:colOff>38099</xdr:colOff>
      <xdr:row>98</xdr:row>
      <xdr:rowOff>38100</xdr:rowOff>
    </xdr:from>
    <xdr:to>
      <xdr:col>11</xdr:col>
      <xdr:colOff>632053</xdr:colOff>
      <xdr:row>101</xdr:row>
      <xdr:rowOff>514348</xdr:rowOff>
    </xdr:to>
    <xdr:pic>
      <xdr:nvPicPr>
        <xdr:cNvPr id="13" name="Grafik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76199" y="20383500"/>
          <a:ext cx="6299429" cy="9839325"/>
        </a:xfrm>
        <a:prstGeom prst="rect">
          <a:avLst/>
        </a:prstGeom>
      </xdr:spPr>
    </xdr:pic>
    <xdr:clientData/>
  </xdr:twoCellAnchor>
  <xdr:twoCellAnchor editAs="oneCell">
    <xdr:from>
      <xdr:col>1</xdr:col>
      <xdr:colOff>19050</xdr:colOff>
      <xdr:row>102</xdr:row>
      <xdr:rowOff>47625</xdr:rowOff>
    </xdr:from>
    <xdr:to>
      <xdr:col>11</xdr:col>
      <xdr:colOff>610325</xdr:colOff>
      <xdr:row>151</xdr:row>
      <xdr:rowOff>1247773</xdr:rowOff>
    </xdr:to>
    <xdr:pic>
      <xdr:nvPicPr>
        <xdr:cNvPr id="14" name="Grafik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stretch>
          <a:fillRect/>
        </a:stretch>
      </xdr:blipFill>
      <xdr:spPr>
        <a:xfrm>
          <a:off x="57150" y="30318075"/>
          <a:ext cx="6296750" cy="9801225"/>
        </a:xfrm>
        <a:prstGeom prst="rect">
          <a:avLst/>
        </a:prstGeom>
      </xdr:spPr>
    </xdr:pic>
    <xdr:clientData/>
  </xdr:twoCellAnchor>
  <xdr:twoCellAnchor editAs="oneCell">
    <xdr:from>
      <xdr:col>1</xdr:col>
      <xdr:colOff>19049</xdr:colOff>
      <xdr:row>152</xdr:row>
      <xdr:rowOff>28575</xdr:rowOff>
    </xdr:from>
    <xdr:to>
      <xdr:col>11</xdr:col>
      <xdr:colOff>629339</xdr:colOff>
      <xdr:row>204</xdr:row>
      <xdr:rowOff>1743076</xdr:rowOff>
    </xdr:to>
    <xdr:pic>
      <xdr:nvPicPr>
        <xdr:cNvPr id="15" name="Grafik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a:stretch>
          <a:fillRect/>
        </a:stretch>
      </xdr:blipFill>
      <xdr:spPr>
        <a:xfrm>
          <a:off x="57149" y="40195500"/>
          <a:ext cx="6315765" cy="10134600"/>
        </a:xfrm>
        <a:prstGeom prst="rect">
          <a:avLst/>
        </a:prstGeom>
      </xdr:spPr>
    </xdr:pic>
    <xdr:clientData/>
  </xdr:twoCellAnchor>
  <xdr:twoCellAnchor editAs="oneCell">
    <xdr:from>
      <xdr:col>0</xdr:col>
      <xdr:colOff>0</xdr:colOff>
      <xdr:row>0</xdr:row>
      <xdr:rowOff>0</xdr:rowOff>
    </xdr:from>
    <xdr:to>
      <xdr:col>12</xdr:col>
      <xdr:colOff>0</xdr:colOff>
      <xdr:row>1</xdr:row>
      <xdr:rowOff>10661</xdr:rowOff>
    </xdr:to>
    <xdr:pic>
      <xdr:nvPicPr>
        <xdr:cNvPr id="7" name="Picture 17">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0"/>
          <a:ext cx="6357257" cy="34403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65481</xdr:colOff>
      <xdr:row>0</xdr:row>
      <xdr:rowOff>74834</xdr:rowOff>
    </xdr:from>
    <xdr:to>
      <xdr:col>7</xdr:col>
      <xdr:colOff>355471</xdr:colOff>
      <xdr:row>59</xdr:row>
      <xdr:rowOff>48603</xdr:rowOff>
    </xdr:to>
    <xdr:pic>
      <xdr:nvPicPr>
        <xdr:cNvPr id="9" name="Grafik 8">
          <a:extLst>
            <a:ext uri="{FF2B5EF4-FFF2-40B4-BE49-F238E27FC236}">
              <a16:creationId xmlns:a16="http://schemas.microsoft.com/office/drawing/2014/main" id="{3BE66ADE-A518-4A0A-926E-71D1FAFA508F}"/>
            </a:ext>
          </a:extLst>
        </xdr:cNvPr>
        <xdr:cNvPicPr>
          <a:picLocks noChangeAspect="1"/>
        </xdr:cNvPicPr>
      </xdr:nvPicPr>
      <xdr:blipFill>
        <a:blip xmlns:r="http://schemas.openxmlformats.org/officeDocument/2006/relationships" r:embed="rId1"/>
        <a:stretch>
          <a:fillRect/>
        </a:stretch>
      </xdr:blipFill>
      <xdr:spPr>
        <a:xfrm>
          <a:off x="65481" y="74834"/>
          <a:ext cx="5986865" cy="9356308"/>
        </a:xfrm>
        <a:prstGeom prst="rect">
          <a:avLst/>
        </a:prstGeom>
        <a:ln>
          <a:solidFill>
            <a:schemeClr val="tx1"/>
          </a:solidFill>
        </a:ln>
      </xdr:spPr>
    </xdr:pic>
    <xdr:clientData/>
  </xdr:twoCellAnchor>
  <xdr:twoCellAnchor editAs="oneCell">
    <xdr:from>
      <xdr:col>8</xdr:col>
      <xdr:colOff>598686</xdr:colOff>
      <xdr:row>0</xdr:row>
      <xdr:rowOff>74835</xdr:rowOff>
    </xdr:from>
    <xdr:to>
      <xdr:col>15</xdr:col>
      <xdr:colOff>1130925</xdr:colOff>
      <xdr:row>59</xdr:row>
      <xdr:rowOff>56126</xdr:rowOff>
    </xdr:to>
    <xdr:pic>
      <xdr:nvPicPr>
        <xdr:cNvPr id="4" name="Grafik 3">
          <a:extLst>
            <a:ext uri="{FF2B5EF4-FFF2-40B4-BE49-F238E27FC236}">
              <a16:creationId xmlns:a16="http://schemas.microsoft.com/office/drawing/2014/main" id="{5E8E9CF2-B13C-4F59-9D30-89FF0059610E}"/>
            </a:ext>
          </a:extLst>
        </xdr:cNvPr>
        <xdr:cNvPicPr>
          <a:picLocks noChangeAspect="1"/>
        </xdr:cNvPicPr>
      </xdr:nvPicPr>
      <xdr:blipFill>
        <a:blip xmlns:r="http://schemas.openxmlformats.org/officeDocument/2006/relationships" r:embed="rId2"/>
        <a:stretch>
          <a:fillRect/>
        </a:stretch>
      </xdr:blipFill>
      <xdr:spPr>
        <a:xfrm>
          <a:off x="7109401" y="74835"/>
          <a:ext cx="6229115" cy="9363830"/>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200024</xdr:colOff>
      <xdr:row>0</xdr:row>
      <xdr:rowOff>0</xdr:rowOff>
    </xdr:from>
    <xdr:to>
      <xdr:col>11</xdr:col>
      <xdr:colOff>8144</xdr:colOff>
      <xdr:row>1</xdr:row>
      <xdr:rowOff>823</xdr:rowOff>
    </xdr:to>
    <xdr:pic>
      <xdr:nvPicPr>
        <xdr:cNvPr id="10275" name="Picture 17">
          <a:extLst>
            <a:ext uri="{FF2B5EF4-FFF2-40B4-BE49-F238E27FC236}">
              <a16:creationId xmlns:a16="http://schemas.microsoft.com/office/drawing/2014/main" id="{00000000-0008-0000-0500-000023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0024" y="0"/>
          <a:ext cx="8286751" cy="448498"/>
        </a:xfrm>
        <a:prstGeom prst="rect">
          <a:avLst/>
        </a:prstGeom>
        <a:noFill/>
        <a:ln w="9525">
          <a:noFill/>
          <a:miter lim="800000"/>
          <a:headEnd/>
          <a:tailEnd/>
        </a:ln>
      </xdr:spPr>
    </xdr:pic>
    <xdr:clientData/>
  </xdr:twoCellAnchor>
  <xdr:twoCellAnchor editAs="oneCell">
    <xdr:from>
      <xdr:col>5</xdr:col>
      <xdr:colOff>134468</xdr:colOff>
      <xdr:row>8</xdr:row>
      <xdr:rowOff>44824</xdr:rowOff>
    </xdr:from>
    <xdr:to>
      <xdr:col>10</xdr:col>
      <xdr:colOff>592788</xdr:colOff>
      <xdr:row>23</xdr:row>
      <xdr:rowOff>85149</xdr:rowOff>
    </xdr:to>
    <xdr:pic>
      <xdr:nvPicPr>
        <xdr:cNvPr id="2" name="o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42642" y="1817302"/>
          <a:ext cx="4135799" cy="2806100"/>
        </a:xfrm>
        <a:prstGeom prst="rect">
          <a:avLst/>
        </a:prstGeom>
      </xdr:spPr>
    </xdr:pic>
    <xdr:clientData/>
  </xdr:twoCellAnchor>
  <xdr:twoCellAnchor editAs="oneCell">
    <xdr:from>
      <xdr:col>5</xdr:col>
      <xdr:colOff>136955</xdr:colOff>
      <xdr:row>8</xdr:row>
      <xdr:rowOff>39025</xdr:rowOff>
    </xdr:from>
    <xdr:to>
      <xdr:col>10</xdr:col>
      <xdr:colOff>582575</xdr:colOff>
      <xdr:row>23</xdr:row>
      <xdr:rowOff>88875</xdr:rowOff>
    </xdr:to>
    <xdr:pic>
      <xdr:nvPicPr>
        <xdr:cNvPr id="3" name="o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45129" y="1811503"/>
          <a:ext cx="4126274" cy="2815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455543</xdr:colOff>
      <xdr:row>11</xdr:row>
      <xdr:rowOff>14946</xdr:rowOff>
    </xdr:from>
    <xdr:to>
      <xdr:col>8</xdr:col>
      <xdr:colOff>496956</xdr:colOff>
      <xdr:row>26</xdr:row>
      <xdr:rowOff>30747</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54934" y="1729446"/>
          <a:ext cx="4439479" cy="2501726"/>
        </a:xfrm>
        <a:prstGeom prst="rect">
          <a:avLst/>
        </a:prstGeom>
      </xdr:spPr>
    </xdr:pic>
    <xdr:clientData/>
  </xdr:twoCellAnchor>
  <xdr:twoCellAnchor editAs="oneCell">
    <xdr:from>
      <xdr:col>6</xdr:col>
      <xdr:colOff>277586</xdr:colOff>
      <xdr:row>32</xdr:row>
      <xdr:rowOff>16267</xdr:rowOff>
    </xdr:from>
    <xdr:to>
      <xdr:col>9</xdr:col>
      <xdr:colOff>182121</xdr:colOff>
      <xdr:row>55</xdr:row>
      <xdr:rowOff>147393</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3156857" y="4680796"/>
          <a:ext cx="2304835" cy="4044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364436</xdr:colOff>
      <xdr:row>10</xdr:row>
      <xdr:rowOff>8284</xdr:rowOff>
    </xdr:from>
    <xdr:to>
      <xdr:col>8</xdr:col>
      <xdr:colOff>695740</xdr:colOff>
      <xdr:row>25</xdr:row>
      <xdr:rowOff>150935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a:stretch>
          <a:fillRect/>
        </a:stretch>
      </xdr:blipFill>
      <xdr:spPr>
        <a:xfrm>
          <a:off x="463827" y="1507436"/>
          <a:ext cx="4779065" cy="2510906"/>
        </a:xfrm>
        <a:prstGeom prst="rect">
          <a:avLst/>
        </a:prstGeom>
      </xdr:spPr>
    </xdr:pic>
    <xdr:clientData/>
  </xdr:twoCellAnchor>
  <xdr:twoCellAnchor editAs="oneCell">
    <xdr:from>
      <xdr:col>6</xdr:col>
      <xdr:colOff>369094</xdr:colOff>
      <xdr:row>32</xdr:row>
      <xdr:rowOff>29767</xdr:rowOff>
    </xdr:from>
    <xdr:to>
      <xdr:col>9</xdr:col>
      <xdr:colOff>120038</xdr:colOff>
      <xdr:row>54</xdr:row>
      <xdr:rowOff>148937</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3286125" y="4661298"/>
          <a:ext cx="2144101" cy="37624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513521</xdr:colOff>
      <xdr:row>10</xdr:row>
      <xdr:rowOff>8282</xdr:rowOff>
    </xdr:from>
    <xdr:to>
      <xdr:col>8</xdr:col>
      <xdr:colOff>505239</xdr:colOff>
      <xdr:row>25</xdr:row>
      <xdr:rowOff>149464</xdr:rowOff>
    </xdr:to>
    <xdr:pic>
      <xdr:nvPicPr>
        <xdr:cNvPr id="6" name="Grafik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stretch>
          <a:fillRect/>
        </a:stretch>
      </xdr:blipFill>
      <xdr:spPr>
        <a:xfrm>
          <a:off x="612912" y="1424608"/>
          <a:ext cx="4439479" cy="2501726"/>
        </a:xfrm>
        <a:prstGeom prst="rect">
          <a:avLst/>
        </a:prstGeom>
      </xdr:spPr>
    </xdr:pic>
    <xdr:clientData/>
  </xdr:twoCellAnchor>
  <xdr:twoCellAnchor editAs="oneCell">
    <xdr:from>
      <xdr:col>6</xdr:col>
      <xdr:colOff>271097</xdr:colOff>
      <xdr:row>32</xdr:row>
      <xdr:rowOff>14653</xdr:rowOff>
    </xdr:from>
    <xdr:to>
      <xdr:col>9</xdr:col>
      <xdr:colOff>180028</xdr:colOff>
      <xdr:row>56</xdr:row>
      <xdr:rowOff>69270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3194539" y="4410807"/>
          <a:ext cx="2304835" cy="404454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3.xml"/><Relationship Id="rId4"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ausschreiben.de/katalog/hilti/position/47" TargetMode="External"/><Relationship Id="rId1" Type="http://schemas.openxmlformats.org/officeDocument/2006/relationships/hyperlink" Target="http://www.ausschreiben.de/"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hilti.de/medias/sys_master/documents/h2b/h67/9485048119326/ETA-16-0143-for-HIT-RE-500-V3-injection-mortar-Approval-document-ASSET-DOC-6038090.pdf" TargetMode="External"/><Relationship Id="rId1" Type="http://schemas.openxmlformats.org/officeDocument/2006/relationships/hyperlink" Target="http://hilti.cadclick.com/?mandant=DE&amp;cul=de-DE" TargetMode="External"/><Relationship Id="rId4"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hyperlink" Target="mailto:NLTeamTechnischAdvies@hilti.com" TargetMode="External"/><Relationship Id="rId2" Type="http://schemas.openxmlformats.org/officeDocument/2006/relationships/hyperlink" Target="mailto:CHTeamInhaustechnik@hilti.com" TargetMode="External"/><Relationship Id="rId1" Type="http://schemas.openxmlformats.org/officeDocument/2006/relationships/hyperlink" Target="mailto:planer-support@hilti.com" TargetMode="External"/><Relationship Id="rId6" Type="http://schemas.openxmlformats.org/officeDocument/2006/relationships/printerSettings" Target="../printerSettings/printerSettings11.bin"/><Relationship Id="rId5" Type="http://schemas.openxmlformats.org/officeDocument/2006/relationships/hyperlink" Target="mailto:PROFISpomoc.pl@hilti.com" TargetMode="External"/><Relationship Id="rId4" Type="http://schemas.openxmlformats.org/officeDocument/2006/relationships/hyperlink" Target="mailto:atteamengineering@hilti.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showGridLines="0" showRowColHeaders="0" zoomScale="55" zoomScaleNormal="55" workbookViewId="0">
      <selection activeCell="AA41" sqref="AA41"/>
    </sheetView>
  </sheetViews>
  <sheetFormatPr baseColWidth="10" defaultColWidth="11.33203125" defaultRowHeight="12.7"/>
  <sheetData/>
  <sheetProtection password="C6FA" sheet="1" objects="1" scenarios="1"/>
  <customSheetViews>
    <customSheetView guid="{39DD0EDE-63E7-470F-AA9E-0FA02F254C3F}" scale="85" showGridLines="0" showRowCol="0">
      <selection activeCell="I53" sqref="I53"/>
      <pageMargins left="0.78740157499999996" right="0.78740157499999996" top="0.984251969" bottom="0.984251969" header="0.4921259845" footer="0.4921259845"/>
      <pageSetup paperSize="9" orientation="portrait" r:id="rId1"/>
      <headerFooter alignWithMargins="0"/>
    </customSheetView>
  </customSheetViews>
  <phoneticPr fontId="25" type="noConversion"/>
  <pageMargins left="0.78740157499999996" right="0.78740157499999996" top="0.984251969" bottom="0.984251969" header="0.4921259845" footer="0.492125984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rgb="FFC00000"/>
  </sheetPr>
  <dimension ref="A1:AA947"/>
  <sheetViews>
    <sheetView showGridLines="0" showRowColHeaders="0" showZeros="0" showOutlineSymbols="0" topLeftCell="A647" zoomScaleNormal="100" zoomScaleSheetLayoutView="100" zoomScalePageLayoutView="85" workbookViewId="0">
      <selection activeCell="A947" sqref="A947"/>
    </sheetView>
  </sheetViews>
  <sheetFormatPr baseColWidth="10" defaultColWidth="11.33203125" defaultRowHeight="12.7"/>
  <cols>
    <col min="1" max="1" width="1.33203125" style="65" customWidth="1"/>
    <col min="2" max="4" width="12" style="65" customWidth="1"/>
    <col min="5" max="5" width="5" style="65" customWidth="1"/>
    <col min="6" max="6" width="1.33203125" style="65" customWidth="1"/>
    <col min="7" max="9" width="12" style="65" customWidth="1"/>
    <col min="10" max="10" width="6.88671875" style="65" customWidth="1"/>
    <col min="11" max="11" width="81.6640625" style="65" customWidth="1"/>
    <col min="12" max="12" width="144.33203125" style="65" customWidth="1"/>
    <col min="13" max="15" width="12" style="65" customWidth="1"/>
    <col min="16" max="16" width="5" style="65" customWidth="1"/>
    <col min="17" max="17" width="1.33203125" style="65" customWidth="1"/>
    <col min="18" max="20" width="12" style="65" customWidth="1"/>
    <col min="21" max="21" width="5" style="65" customWidth="1"/>
    <col min="22" max="22" width="1.33203125" style="65" customWidth="1"/>
    <col min="23" max="16384" width="11.33203125" style="65"/>
  </cols>
  <sheetData>
    <row r="1" spans="1:27">
      <c r="A1" s="349"/>
      <c r="B1" s="534" t="s">
        <v>54</v>
      </c>
      <c r="C1" s="1100"/>
      <c r="D1" s="1100"/>
      <c r="E1" s="1100"/>
      <c r="F1" s="1100"/>
      <c r="G1" s="1100"/>
      <c r="H1" s="539" t="s">
        <v>55</v>
      </c>
      <c r="I1" s="1061"/>
      <c r="J1" s="1062"/>
      <c r="K1" s="532"/>
      <c r="L1" s="531"/>
      <c r="M1" s="531"/>
      <c r="N1" s="531"/>
      <c r="O1" s="531"/>
      <c r="P1" s="531"/>
      <c r="Q1" s="531"/>
      <c r="R1" s="531"/>
      <c r="S1" s="531"/>
      <c r="T1" s="531"/>
      <c r="U1" s="531"/>
      <c r="V1" s="531"/>
      <c r="W1" s="531"/>
      <c r="X1" s="531"/>
      <c r="Y1" s="531"/>
      <c r="Z1" s="531"/>
      <c r="AA1" s="531"/>
    </row>
    <row r="2" spans="1:27">
      <c r="A2" s="352"/>
      <c r="B2" s="417" t="s">
        <v>56</v>
      </c>
      <c r="C2" s="1101"/>
      <c r="D2" s="1101"/>
      <c r="E2" s="1101"/>
      <c r="F2" s="1101"/>
      <c r="G2" s="1101"/>
      <c r="H2" s="403" t="s">
        <v>57</v>
      </c>
      <c r="I2" s="1061"/>
      <c r="J2" s="1062"/>
      <c r="K2" s="532"/>
      <c r="L2" s="531"/>
      <c r="M2" s="531"/>
      <c r="N2" s="531"/>
      <c r="O2" s="531"/>
      <c r="P2" s="531"/>
      <c r="Q2" s="531"/>
      <c r="R2" s="531"/>
      <c r="S2" s="531"/>
      <c r="T2" s="531"/>
      <c r="U2" s="531"/>
      <c r="V2" s="531"/>
      <c r="W2" s="531"/>
      <c r="X2" s="531"/>
      <c r="Y2" s="531"/>
      <c r="Z2" s="531"/>
      <c r="AA2" s="531"/>
    </row>
    <row r="3" spans="1:27">
      <c r="A3" s="349"/>
      <c r="B3" s="534" t="s">
        <v>58</v>
      </c>
      <c r="C3" s="1100"/>
      <c r="D3" s="1100"/>
      <c r="E3" s="1100"/>
      <c r="F3" s="1100"/>
      <c r="G3" s="1100"/>
      <c r="H3" s="539" t="s">
        <v>59</v>
      </c>
      <c r="I3" s="1061"/>
      <c r="J3" s="1062"/>
      <c r="K3" s="532"/>
      <c r="L3" s="531"/>
      <c r="M3" s="531"/>
      <c r="N3" s="531"/>
      <c r="O3" s="531"/>
      <c r="P3" s="531"/>
      <c r="Q3" s="531"/>
      <c r="R3" s="531"/>
      <c r="S3" s="531"/>
      <c r="T3" s="531"/>
      <c r="U3" s="531"/>
      <c r="V3" s="531"/>
      <c r="W3" s="531"/>
      <c r="X3" s="531"/>
      <c r="Y3" s="531"/>
      <c r="Z3" s="531"/>
      <c r="AA3" s="531"/>
    </row>
    <row r="4" spans="1:27">
      <c r="A4" s="353"/>
      <c r="B4" s="535" t="s">
        <v>60</v>
      </c>
      <c r="C4" s="1102"/>
      <c r="D4" s="1103"/>
      <c r="E4" s="1103"/>
      <c r="F4" s="1103"/>
      <c r="G4" s="1103"/>
      <c r="H4" s="5" t="s">
        <v>61</v>
      </c>
      <c r="I4" s="1061"/>
      <c r="J4" s="1062"/>
      <c r="K4" s="532"/>
      <c r="L4" s="531"/>
      <c r="M4" s="531"/>
      <c r="N4" s="531"/>
      <c r="O4" s="531"/>
      <c r="P4" s="531"/>
      <c r="Q4" s="531"/>
      <c r="R4" s="531"/>
      <c r="S4" s="531"/>
      <c r="T4" s="531"/>
      <c r="U4" s="531"/>
      <c r="V4" s="531"/>
      <c r="W4" s="531"/>
      <c r="X4" s="531"/>
      <c r="Y4" s="531"/>
      <c r="Z4" s="531"/>
      <c r="AA4" s="531"/>
    </row>
    <row r="5" spans="1:27">
      <c r="A5" s="349"/>
      <c r="B5" s="534" t="s">
        <v>62</v>
      </c>
      <c r="C5" s="1100"/>
      <c r="D5" s="1100"/>
      <c r="E5" s="1100"/>
      <c r="F5" s="1100"/>
      <c r="G5" s="1100"/>
      <c r="H5" s="539" t="s">
        <v>63</v>
      </c>
      <c r="I5" s="1063">
        <f ca="1">TODAY()</f>
        <v>44102</v>
      </c>
      <c r="J5" s="1064"/>
      <c r="K5" s="3"/>
      <c r="L5" s="531"/>
      <c r="M5" s="531"/>
      <c r="N5" s="531"/>
      <c r="O5" s="531"/>
      <c r="P5" s="531"/>
      <c r="Q5" s="531"/>
      <c r="R5" s="531"/>
      <c r="S5" s="531"/>
      <c r="T5" s="531"/>
      <c r="U5" s="531"/>
      <c r="V5" s="531"/>
      <c r="W5" s="531"/>
      <c r="X5" s="531"/>
      <c r="Y5" s="531"/>
      <c r="Z5" s="531"/>
      <c r="AA5" s="531"/>
    </row>
    <row r="6" spans="1:27" s="1" customFormat="1" ht="1.75" customHeight="1">
      <c r="A6" s="344"/>
      <c r="B6" s="344"/>
      <c r="C6" s="345"/>
      <c r="D6" s="345"/>
      <c r="E6" s="345"/>
      <c r="F6" s="345"/>
      <c r="G6" s="345"/>
      <c r="H6" s="344"/>
      <c r="I6" s="6"/>
      <c r="J6" s="6"/>
      <c r="K6" s="402"/>
      <c r="L6" s="402"/>
      <c r="M6" s="402"/>
      <c r="N6" s="531"/>
      <c r="O6" s="531"/>
      <c r="P6" s="531"/>
      <c r="Q6" s="531"/>
      <c r="R6" s="531"/>
      <c r="S6" s="531"/>
      <c r="T6" s="531"/>
      <c r="U6" s="531"/>
      <c r="V6" s="531"/>
      <c r="W6" s="531"/>
      <c r="X6" s="531"/>
      <c r="Y6" s="531"/>
      <c r="Z6" s="531"/>
      <c r="AA6" s="531"/>
    </row>
    <row r="7" spans="1:27" s="467" customFormat="1" ht="27.25" customHeight="1">
      <c r="A7" s="1096" t="s">
        <v>539</v>
      </c>
      <c r="B7" s="1096"/>
      <c r="C7" s="1096"/>
      <c r="D7" s="1096"/>
      <c r="E7" s="1096"/>
      <c r="F7" s="1096"/>
      <c r="G7" s="1096"/>
      <c r="H7" s="1096"/>
      <c r="I7" s="1096"/>
      <c r="J7" s="1096"/>
      <c r="K7" s="402"/>
      <c r="L7" s="402"/>
      <c r="M7" s="402"/>
      <c r="N7" s="531"/>
      <c r="O7" s="531"/>
      <c r="P7" s="531"/>
      <c r="Q7" s="531"/>
      <c r="R7" s="531"/>
      <c r="S7" s="531"/>
      <c r="T7" s="531"/>
      <c r="U7" s="531"/>
      <c r="V7" s="531"/>
      <c r="W7" s="531"/>
      <c r="X7" s="531"/>
      <c r="Y7" s="531"/>
      <c r="Z7" s="531"/>
      <c r="AA7" s="531"/>
    </row>
    <row r="8" spans="1:27" s="1" customFormat="1" ht="6.8" customHeight="1">
      <c r="A8" s="402"/>
      <c r="B8" s="531"/>
      <c r="C8" s="281"/>
      <c r="D8" s="281"/>
      <c r="E8" s="281"/>
      <c r="F8" s="281"/>
      <c r="G8" s="281"/>
      <c r="H8" s="531"/>
      <c r="I8" s="531"/>
      <c r="J8" s="531"/>
      <c r="K8" s="402"/>
      <c r="L8" s="402"/>
      <c r="M8" s="402"/>
      <c r="N8" s="531"/>
      <c r="O8" s="531"/>
      <c r="P8" s="531"/>
      <c r="Q8" s="531"/>
      <c r="R8" s="531"/>
      <c r="S8" s="531"/>
      <c r="T8" s="531"/>
      <c r="U8" s="531"/>
      <c r="V8" s="531"/>
      <c r="W8" s="531"/>
      <c r="X8" s="531"/>
      <c r="Y8" s="531"/>
      <c r="Z8" s="531"/>
      <c r="AA8" s="531"/>
    </row>
    <row r="9" spans="1:27" s="1" customFormat="1" ht="15.55">
      <c r="A9" s="470"/>
      <c r="B9" s="1065" t="s">
        <v>70</v>
      </c>
      <c r="C9" s="1065"/>
      <c r="D9" s="1065"/>
      <c r="E9" s="1065"/>
      <c r="F9" s="1065"/>
      <c r="G9" s="1065"/>
      <c r="H9" s="1065"/>
      <c r="I9" s="1065"/>
      <c r="J9" s="1066"/>
      <c r="K9" s="246"/>
      <c r="L9" s="402"/>
      <c r="M9" s="402"/>
      <c r="N9" s="531"/>
      <c r="O9" s="531"/>
      <c r="P9" s="531"/>
      <c r="Q9" s="531"/>
      <c r="R9" s="531"/>
      <c r="S9" s="531"/>
      <c r="T9" s="531"/>
      <c r="U9" s="531"/>
      <c r="V9" s="531"/>
      <c r="W9" s="531"/>
      <c r="X9" s="531"/>
      <c r="Y9" s="531"/>
      <c r="Z9" s="531"/>
      <c r="AA9" s="531"/>
    </row>
    <row r="10" spans="1:27" s="1" customFormat="1" ht="2.2999999999999998" customHeight="1">
      <c r="A10" s="30"/>
      <c r="B10" s="402"/>
      <c r="C10" s="402"/>
      <c r="D10" s="525"/>
      <c r="E10" s="402"/>
      <c r="F10" s="402"/>
      <c r="G10" s="525"/>
      <c r="H10" s="402"/>
      <c r="I10" s="525"/>
      <c r="J10" s="31"/>
      <c r="K10" s="402"/>
      <c r="L10" s="402"/>
      <c r="M10" s="402"/>
      <c r="N10" s="531"/>
      <c r="O10" s="531"/>
      <c r="P10" s="531"/>
      <c r="Q10" s="531"/>
      <c r="R10" s="531"/>
      <c r="S10" s="531"/>
      <c r="T10" s="531"/>
      <c r="U10" s="531"/>
      <c r="V10" s="531"/>
      <c r="W10" s="531"/>
      <c r="X10" s="531"/>
      <c r="Y10" s="531"/>
      <c r="Z10" s="531"/>
      <c r="AA10" s="531"/>
    </row>
    <row r="11" spans="1:27" s="1" customFormat="1" ht="3.45" customHeight="1">
      <c r="A11" s="7"/>
      <c r="B11" s="518"/>
      <c r="C11" s="518"/>
      <c r="D11" s="3"/>
      <c r="E11" s="518"/>
      <c r="F11" s="518"/>
      <c r="G11" s="3"/>
      <c r="H11" s="518"/>
      <c r="I11" s="3"/>
      <c r="J11" s="8"/>
      <c r="K11" s="518"/>
      <c r="L11" s="518"/>
      <c r="M11" s="518"/>
      <c r="N11" s="531"/>
      <c r="O11" s="531"/>
      <c r="P11" s="531"/>
      <c r="Q11" s="531"/>
      <c r="R11" s="531"/>
      <c r="S11" s="531"/>
      <c r="T11" s="531"/>
      <c r="U11" s="531"/>
      <c r="V11" s="531"/>
      <c r="W11" s="531"/>
      <c r="X11" s="531"/>
      <c r="Y11" s="531"/>
      <c r="Z11" s="531"/>
      <c r="AA11" s="531"/>
    </row>
    <row r="12" spans="1:27" s="1" customFormat="1">
      <c r="A12" s="7"/>
      <c r="B12" s="518"/>
      <c r="C12" s="518"/>
      <c r="D12" s="3"/>
      <c r="E12" s="518"/>
      <c r="F12" s="518"/>
      <c r="G12" s="3"/>
      <c r="H12" s="518"/>
      <c r="I12" s="3"/>
      <c r="J12" s="8"/>
      <c r="K12" s="518"/>
      <c r="L12" s="518"/>
      <c r="M12" s="518"/>
      <c r="N12" s="531"/>
      <c r="O12" s="531"/>
      <c r="P12" s="531"/>
      <c r="Q12" s="531"/>
      <c r="R12" s="531"/>
      <c r="S12" s="531"/>
      <c r="T12" s="531"/>
      <c r="U12" s="531"/>
      <c r="V12" s="531"/>
      <c r="W12" s="531"/>
      <c r="X12" s="531"/>
      <c r="Y12" s="531"/>
      <c r="Z12" s="531"/>
      <c r="AA12" s="531"/>
    </row>
    <row r="13" spans="1:27" s="1" customFormat="1">
      <c r="A13" s="7"/>
      <c r="B13" s="518"/>
      <c r="C13" s="518"/>
      <c r="D13" s="3"/>
      <c r="E13" s="518"/>
      <c r="F13" s="518"/>
      <c r="G13" s="3"/>
      <c r="H13" s="518"/>
      <c r="I13" s="3"/>
      <c r="J13" s="8"/>
      <c r="K13" s="518"/>
      <c r="L13" s="518"/>
      <c r="M13" s="518"/>
      <c r="N13" s="531"/>
      <c r="O13" s="531"/>
      <c r="P13" s="531"/>
      <c r="Q13" s="531"/>
      <c r="R13" s="531"/>
      <c r="S13" s="531"/>
      <c r="T13" s="531"/>
      <c r="U13" s="531"/>
      <c r="V13" s="531"/>
      <c r="W13" s="531"/>
      <c r="X13" s="531"/>
      <c r="Y13" s="531"/>
      <c r="Z13" s="531"/>
      <c r="AA13" s="531"/>
    </row>
    <row r="14" spans="1:27" s="1" customFormat="1">
      <c r="A14" s="7"/>
      <c r="B14" s="518"/>
      <c r="C14" s="518"/>
      <c r="D14" s="3"/>
      <c r="E14" s="518"/>
      <c r="F14" s="518"/>
      <c r="G14" s="3"/>
      <c r="H14" s="518"/>
      <c r="I14" s="3"/>
      <c r="J14" s="8"/>
      <c r="K14" s="518"/>
      <c r="L14" s="518"/>
      <c r="M14" s="518"/>
      <c r="N14" s="531"/>
      <c r="O14" s="531"/>
      <c r="P14" s="531"/>
      <c r="Q14" s="531"/>
      <c r="R14" s="531"/>
      <c r="S14" s="531"/>
      <c r="T14" s="531"/>
      <c r="U14" s="531"/>
      <c r="V14" s="531"/>
      <c r="W14" s="531"/>
      <c r="X14" s="531"/>
      <c r="Y14" s="531"/>
      <c r="Z14" s="531"/>
      <c r="AA14" s="531"/>
    </row>
    <row r="15" spans="1:27" s="1" customFormat="1">
      <c r="A15" s="7"/>
      <c r="B15" s="518"/>
      <c r="C15" s="518"/>
      <c r="D15" s="3"/>
      <c r="E15" s="518"/>
      <c r="F15" s="518"/>
      <c r="G15" s="3"/>
      <c r="H15" s="518"/>
      <c r="I15" s="3"/>
      <c r="J15" s="8"/>
      <c r="K15" s="518"/>
      <c r="L15" s="518"/>
      <c r="M15" s="518"/>
      <c r="N15" s="531"/>
      <c r="O15" s="531"/>
      <c r="P15" s="531"/>
      <c r="Q15" s="531"/>
      <c r="R15" s="531"/>
      <c r="S15" s="531"/>
      <c r="T15" s="531"/>
      <c r="U15" s="531"/>
      <c r="V15" s="531"/>
      <c r="W15" s="531"/>
      <c r="X15" s="531"/>
      <c r="Y15" s="531"/>
      <c r="Z15" s="531"/>
      <c r="AA15" s="531"/>
    </row>
    <row r="16" spans="1:27" s="1" customFormat="1">
      <c r="A16" s="7"/>
      <c r="B16" s="518"/>
      <c r="C16" s="518"/>
      <c r="D16" s="3"/>
      <c r="E16" s="518"/>
      <c r="F16" s="518"/>
      <c r="G16" s="3"/>
      <c r="H16" s="518"/>
      <c r="I16" s="3"/>
      <c r="J16" s="8"/>
      <c r="K16" s="518"/>
      <c r="L16" s="518"/>
      <c r="M16" s="518"/>
      <c r="N16" s="531"/>
      <c r="O16" s="531"/>
      <c r="P16" s="531"/>
      <c r="Q16" s="531"/>
      <c r="R16" s="531"/>
      <c r="S16" s="531"/>
      <c r="T16" s="531"/>
      <c r="U16" s="531"/>
      <c r="V16" s="531"/>
      <c r="W16" s="531"/>
      <c r="X16" s="531"/>
      <c r="Y16" s="531"/>
      <c r="Z16" s="531"/>
      <c r="AA16" s="531"/>
    </row>
    <row r="17" spans="1:27" s="1" customFormat="1">
      <c r="A17" s="7"/>
      <c r="B17" s="518"/>
      <c r="C17" s="518"/>
      <c r="D17" s="3"/>
      <c r="E17" s="518"/>
      <c r="F17" s="518"/>
      <c r="G17" s="3"/>
      <c r="H17" s="518"/>
      <c r="I17" s="3"/>
      <c r="J17" s="8"/>
      <c r="K17" s="518"/>
      <c r="L17" s="518"/>
      <c r="M17" s="518"/>
      <c r="N17" s="531"/>
      <c r="O17" s="531"/>
      <c r="P17" s="531"/>
      <c r="Q17" s="531"/>
      <c r="R17" s="531"/>
      <c r="S17" s="531"/>
      <c r="T17" s="531"/>
      <c r="U17" s="531"/>
      <c r="V17" s="531"/>
      <c r="W17" s="531"/>
      <c r="X17" s="531"/>
      <c r="Y17" s="531"/>
      <c r="Z17" s="531"/>
      <c r="AA17" s="531"/>
    </row>
    <row r="18" spans="1:27" s="1" customFormat="1">
      <c r="A18" s="7"/>
      <c r="B18" s="518"/>
      <c r="C18" s="518"/>
      <c r="D18" s="3"/>
      <c r="E18" s="518"/>
      <c r="F18" s="518"/>
      <c r="G18" s="3"/>
      <c r="H18" s="518"/>
      <c r="I18" s="3"/>
      <c r="J18" s="8"/>
      <c r="K18" s="518"/>
      <c r="L18" s="518"/>
      <c r="M18" s="518"/>
      <c r="N18" s="531"/>
      <c r="O18" s="531"/>
      <c r="P18" s="531"/>
      <c r="Q18" s="531"/>
      <c r="R18" s="531"/>
      <c r="S18" s="531"/>
      <c r="T18" s="531"/>
      <c r="U18" s="531"/>
      <c r="V18" s="531"/>
      <c r="W18" s="531"/>
      <c r="X18" s="531"/>
      <c r="Y18" s="531"/>
      <c r="Z18" s="531"/>
      <c r="AA18" s="531"/>
    </row>
    <row r="19" spans="1:27" s="1" customFormat="1">
      <c r="A19" s="7"/>
      <c r="B19" s="518"/>
      <c r="C19" s="518"/>
      <c r="D19" s="3"/>
      <c r="E19" s="518"/>
      <c r="F19" s="518"/>
      <c r="G19" s="3"/>
      <c r="H19" s="518"/>
      <c r="I19" s="3"/>
      <c r="J19" s="8"/>
      <c r="K19" s="518"/>
      <c r="L19" s="518"/>
      <c r="M19" s="518"/>
      <c r="N19" s="531"/>
      <c r="O19" s="531"/>
      <c r="P19" s="531"/>
      <c r="Q19" s="531"/>
      <c r="R19" s="531"/>
      <c r="S19" s="531"/>
      <c r="T19" s="531"/>
      <c r="U19" s="531"/>
      <c r="V19" s="531"/>
      <c r="W19" s="531"/>
      <c r="X19" s="531"/>
      <c r="Y19" s="531"/>
      <c r="Z19" s="531"/>
      <c r="AA19" s="531"/>
    </row>
    <row r="20" spans="1:27" s="1" customFormat="1">
      <c r="A20" s="7"/>
      <c r="B20" s="518"/>
      <c r="C20" s="518"/>
      <c r="D20" s="518"/>
      <c r="E20" s="518"/>
      <c r="F20" s="518"/>
      <c r="G20" s="518"/>
      <c r="H20" s="518"/>
      <c r="I20" s="518"/>
      <c r="J20" s="8"/>
      <c r="K20" s="518"/>
      <c r="L20" s="518"/>
      <c r="M20" s="518"/>
      <c r="N20" s="531"/>
      <c r="O20" s="531"/>
      <c r="P20" s="531"/>
      <c r="Q20" s="531"/>
      <c r="R20" s="531"/>
      <c r="S20" s="531"/>
      <c r="T20" s="531"/>
      <c r="U20" s="531"/>
      <c r="V20" s="531"/>
      <c r="W20" s="531"/>
      <c r="X20" s="531"/>
      <c r="Y20" s="531"/>
      <c r="Z20" s="531"/>
      <c r="AA20" s="531"/>
    </row>
    <row r="21" spans="1:27" s="1" customFormat="1">
      <c r="A21" s="7"/>
      <c r="B21" s="518"/>
      <c r="C21" s="518"/>
      <c r="D21" s="518"/>
      <c r="E21" s="518"/>
      <c r="F21" s="518"/>
      <c r="G21" s="518"/>
      <c r="H21" s="518"/>
      <c r="I21" s="518"/>
      <c r="J21" s="8"/>
      <c r="K21" s="518"/>
      <c r="L21" s="518"/>
      <c r="M21" s="518"/>
      <c r="N21" s="531"/>
      <c r="O21" s="531"/>
      <c r="P21" s="531"/>
      <c r="Q21" s="531"/>
      <c r="R21" s="531"/>
      <c r="S21" s="531"/>
      <c r="T21" s="531"/>
      <c r="U21" s="531"/>
      <c r="V21" s="531"/>
      <c r="W21" s="531"/>
      <c r="X21" s="531"/>
      <c r="Y21" s="531"/>
      <c r="Z21" s="531"/>
      <c r="AA21" s="531"/>
    </row>
    <row r="22" spans="1:27" s="1" customFormat="1">
      <c r="A22" s="7"/>
      <c r="B22" s="518"/>
      <c r="C22" s="518"/>
      <c r="D22" s="518"/>
      <c r="E22" s="518"/>
      <c r="F22" s="518"/>
      <c r="G22" s="518"/>
      <c r="H22" s="518"/>
      <c r="I22" s="518"/>
      <c r="J22" s="8"/>
      <c r="K22" s="518"/>
      <c r="L22" s="518"/>
      <c r="M22" s="518"/>
      <c r="N22" s="531"/>
      <c r="O22" s="531"/>
      <c r="P22" s="531"/>
      <c r="Q22" s="531"/>
      <c r="R22" s="531"/>
      <c r="S22" s="531"/>
      <c r="T22" s="531"/>
      <c r="U22" s="531"/>
      <c r="V22" s="531"/>
      <c r="W22" s="531"/>
      <c r="X22" s="531"/>
      <c r="Y22" s="531"/>
      <c r="Z22" s="531"/>
      <c r="AA22" s="531"/>
    </row>
    <row r="23" spans="1:27" s="1" customFormat="1">
      <c r="A23" s="7"/>
      <c r="B23" s="518"/>
      <c r="C23" s="518"/>
      <c r="D23" s="518"/>
      <c r="E23" s="518"/>
      <c r="F23" s="518"/>
      <c r="G23" s="518"/>
      <c r="H23" s="518"/>
      <c r="I23" s="518"/>
      <c r="J23" s="8"/>
      <c r="K23" s="518"/>
      <c r="L23" s="518"/>
      <c r="M23" s="518"/>
      <c r="N23" s="531"/>
      <c r="O23" s="531"/>
      <c r="P23" s="531"/>
      <c r="Q23" s="531"/>
      <c r="R23" s="531"/>
      <c r="S23" s="531"/>
      <c r="T23" s="531"/>
      <c r="U23" s="531"/>
      <c r="V23" s="531"/>
      <c r="W23" s="531"/>
      <c r="X23" s="531"/>
      <c r="Y23" s="531"/>
      <c r="Z23" s="531"/>
      <c r="AA23" s="531"/>
    </row>
    <row r="24" spans="1:27" s="1" customFormat="1">
      <c r="A24" s="7"/>
      <c r="B24" s="518"/>
      <c r="C24" s="518"/>
      <c r="D24" s="3"/>
      <c r="E24" s="518"/>
      <c r="F24" s="518"/>
      <c r="G24" s="3"/>
      <c r="H24" s="518"/>
      <c r="I24" s="3"/>
      <c r="J24" s="8"/>
      <c r="K24" s="518"/>
      <c r="L24" s="518"/>
      <c r="M24" s="518"/>
      <c r="N24" s="531"/>
      <c r="O24" s="531"/>
      <c r="P24" s="531"/>
      <c r="Q24" s="531"/>
      <c r="R24" s="531"/>
      <c r="S24" s="531"/>
      <c r="T24" s="531"/>
      <c r="U24" s="531"/>
      <c r="V24" s="531"/>
      <c r="W24" s="531"/>
      <c r="X24" s="531"/>
      <c r="Y24" s="531"/>
      <c r="Z24" s="531"/>
      <c r="AA24" s="531"/>
    </row>
    <row r="25" spans="1:27" s="1" customFormat="1">
      <c r="A25" s="7"/>
      <c r="B25" s="518"/>
      <c r="C25" s="518"/>
      <c r="D25" s="3"/>
      <c r="E25" s="518"/>
      <c r="F25" s="518"/>
      <c r="G25" s="3"/>
      <c r="H25" s="518"/>
      <c r="I25" s="3"/>
      <c r="J25" s="8"/>
      <c r="K25" s="518"/>
      <c r="L25" s="518"/>
      <c r="M25" s="518"/>
      <c r="N25" s="531"/>
      <c r="O25" s="531"/>
      <c r="P25" s="531"/>
      <c r="Q25" s="531"/>
      <c r="R25" s="531"/>
      <c r="S25" s="531"/>
      <c r="T25" s="531"/>
      <c r="U25" s="531"/>
      <c r="V25" s="531"/>
      <c r="W25" s="531"/>
      <c r="X25" s="531"/>
      <c r="Y25" s="531"/>
      <c r="Z25" s="531"/>
      <c r="AA25" s="531"/>
    </row>
    <row r="26" spans="1:27" s="1" customFormat="1">
      <c r="A26" s="7"/>
      <c r="B26" s="518"/>
      <c r="C26" s="518"/>
      <c r="D26" s="3"/>
      <c r="E26" s="518"/>
      <c r="F26" s="518"/>
      <c r="G26" s="3"/>
      <c r="H26" s="518"/>
      <c r="I26" s="3"/>
      <c r="J26" s="8"/>
      <c r="K26" s="518"/>
      <c r="L26" s="518"/>
      <c r="M26" s="518"/>
      <c r="N26" s="531"/>
      <c r="O26" s="531"/>
      <c r="P26" s="531"/>
      <c r="Q26" s="531"/>
      <c r="R26" s="531"/>
      <c r="S26" s="531"/>
      <c r="T26" s="531"/>
      <c r="U26" s="531"/>
      <c r="V26" s="531"/>
      <c r="W26" s="531"/>
      <c r="X26" s="531"/>
      <c r="Y26" s="531"/>
      <c r="Z26" s="531"/>
      <c r="AA26" s="531"/>
    </row>
    <row r="27" spans="1:27" s="1" customFormat="1" ht="13" customHeight="1">
      <c r="A27" s="7"/>
      <c r="B27" s="4" t="s">
        <v>608</v>
      </c>
      <c r="C27" s="518"/>
      <c r="D27" s="3"/>
      <c r="E27" s="518"/>
      <c r="F27" s="518"/>
      <c r="G27" s="3"/>
      <c r="H27" s="518"/>
      <c r="I27" s="3"/>
      <c r="J27" s="8"/>
      <c r="K27" s="518"/>
      <c r="L27" s="518"/>
      <c r="M27" s="518"/>
      <c r="N27" s="531"/>
      <c r="O27" s="531"/>
      <c r="P27" s="531"/>
      <c r="Q27" s="531"/>
      <c r="R27" s="531"/>
      <c r="S27" s="531"/>
      <c r="T27" s="531"/>
      <c r="U27" s="531"/>
      <c r="V27" s="531"/>
      <c r="W27" s="531"/>
      <c r="X27" s="531"/>
      <c r="Y27" s="531"/>
      <c r="Z27" s="531"/>
      <c r="AA27" s="531"/>
    </row>
    <row r="28" spans="1:27" s="1" customFormat="1" ht="4.75" hidden="1" customHeight="1">
      <c r="A28" s="7"/>
      <c r="B28" s="518"/>
      <c r="C28" s="518"/>
      <c r="D28" s="3"/>
      <c r="E28" s="518"/>
      <c r="F28" s="518"/>
      <c r="G28" s="3"/>
      <c r="H28" s="518"/>
      <c r="I28" s="3"/>
      <c r="J28" s="8"/>
      <c r="K28" s="518"/>
      <c r="L28" s="518"/>
      <c r="M28" s="518"/>
      <c r="N28" s="531"/>
      <c r="O28" s="531"/>
      <c r="P28" s="531"/>
      <c r="Q28" s="531"/>
      <c r="R28" s="531"/>
      <c r="S28" s="531"/>
      <c r="T28" s="531"/>
      <c r="U28" s="531"/>
      <c r="V28" s="531"/>
      <c r="W28" s="531"/>
      <c r="X28" s="531"/>
      <c r="Y28" s="531"/>
      <c r="Z28" s="531"/>
      <c r="AA28" s="531"/>
    </row>
    <row r="29" spans="1:27" s="1" customFormat="1" ht="3.45" customHeight="1">
      <c r="A29" s="7"/>
      <c r="B29" s="518"/>
      <c r="C29" s="518"/>
      <c r="D29" s="3"/>
      <c r="E29" s="518"/>
      <c r="F29" s="518"/>
      <c r="G29" s="3"/>
      <c r="H29" s="518"/>
      <c r="I29" s="3"/>
      <c r="J29" s="8"/>
      <c r="K29" s="518"/>
      <c r="L29" s="518"/>
      <c r="M29" s="518"/>
      <c r="N29" s="531"/>
      <c r="O29" s="531"/>
      <c r="P29" s="531"/>
      <c r="Q29" s="531"/>
      <c r="R29" s="531"/>
      <c r="S29" s="531"/>
      <c r="T29" s="531"/>
      <c r="U29" s="531"/>
      <c r="V29" s="531"/>
      <c r="W29" s="531"/>
      <c r="X29" s="531"/>
      <c r="Y29" s="531"/>
      <c r="Z29" s="531"/>
      <c r="AA29" s="531"/>
    </row>
    <row r="30" spans="1:27" s="1" customFormat="1" ht="1.75" customHeight="1">
      <c r="A30" s="7"/>
      <c r="B30" s="518"/>
      <c r="C30" s="518"/>
      <c r="D30" s="3"/>
      <c r="E30" s="518"/>
      <c r="F30" s="518"/>
      <c r="G30" s="3"/>
      <c r="H30" s="518"/>
      <c r="I30" s="3"/>
      <c r="J30" s="8"/>
      <c r="K30" s="518"/>
      <c r="L30" s="518"/>
      <c r="M30" s="518"/>
      <c r="N30" s="531"/>
      <c r="O30" s="531"/>
      <c r="P30" s="531"/>
      <c r="Q30" s="531"/>
      <c r="R30" s="531"/>
      <c r="S30" s="531"/>
      <c r="T30" s="531"/>
      <c r="U30" s="531"/>
      <c r="V30" s="531"/>
      <c r="W30" s="531"/>
      <c r="X30" s="531"/>
      <c r="Y30" s="531"/>
      <c r="Z30" s="531"/>
      <c r="AA30" s="531"/>
    </row>
    <row r="31" spans="1:27" s="1" customFormat="1" ht="3.45" customHeight="1">
      <c r="A31" s="35"/>
      <c r="B31" s="28"/>
      <c r="C31" s="28"/>
      <c r="D31" s="28"/>
      <c r="E31" s="28"/>
      <c r="F31" s="28"/>
      <c r="G31" s="28"/>
      <c r="H31" s="28"/>
      <c r="I31" s="28"/>
      <c r="J31" s="22"/>
      <c r="K31" s="518"/>
      <c r="L31" s="518"/>
      <c r="M31" s="518"/>
      <c r="N31" s="531"/>
      <c r="O31" s="531"/>
      <c r="P31" s="531"/>
      <c r="Q31" s="531"/>
      <c r="R31" s="531"/>
      <c r="S31" s="531"/>
      <c r="T31" s="531"/>
      <c r="U31" s="531"/>
      <c r="V31" s="531"/>
      <c r="W31" s="531"/>
      <c r="X31" s="531"/>
      <c r="Y31" s="531"/>
      <c r="Z31" s="531"/>
      <c r="AA31" s="531"/>
    </row>
    <row r="32" spans="1:27" s="1" customFormat="1" ht="15.55">
      <c r="A32" s="1097" t="s">
        <v>203</v>
      </c>
      <c r="B32" s="1065"/>
      <c r="C32" s="1065"/>
      <c r="D32" s="1065"/>
      <c r="E32" s="1066"/>
      <c r="F32" s="518"/>
      <c r="G32" s="1052" t="s">
        <v>474</v>
      </c>
      <c r="H32" s="1053"/>
      <c r="I32" s="1053"/>
      <c r="J32" s="1054"/>
      <c r="K32" s="503"/>
      <c r="L32" s="402"/>
      <c r="M32" s="402"/>
      <c r="N32" s="531"/>
      <c r="O32" s="531"/>
      <c r="P32" s="531"/>
      <c r="Q32" s="531"/>
      <c r="R32" s="531"/>
      <c r="S32" s="531"/>
      <c r="T32" s="531"/>
      <c r="U32" s="531"/>
      <c r="V32" s="531"/>
      <c r="W32" s="531"/>
      <c r="X32" s="531"/>
      <c r="Y32" s="531"/>
      <c r="Z32" s="531"/>
      <c r="AA32" s="531"/>
    </row>
    <row r="33" spans="1:27" s="1" customFormat="1" ht="5.9" customHeight="1">
      <c r="A33" s="30"/>
      <c r="B33" s="402"/>
      <c r="C33" s="402"/>
      <c r="D33" s="402"/>
      <c r="E33" s="31"/>
      <c r="F33" s="402"/>
      <c r="G33" s="403"/>
      <c r="H33" s="416"/>
      <c r="I33" s="416"/>
      <c r="J33" s="417"/>
      <c r="K33" s="402"/>
      <c r="L33" s="402"/>
      <c r="M33" s="402"/>
      <c r="N33" s="531"/>
      <c r="O33" s="531"/>
      <c r="P33" s="531"/>
      <c r="Q33" s="531"/>
      <c r="R33" s="531"/>
      <c r="S33" s="531"/>
      <c r="T33" s="531"/>
      <c r="U33" s="531"/>
      <c r="V33" s="531"/>
      <c r="W33" s="531"/>
      <c r="X33" s="531"/>
      <c r="Y33" s="531"/>
      <c r="Z33" s="531"/>
      <c r="AA33" s="531"/>
    </row>
    <row r="34" spans="1:27" s="1" customFormat="1" ht="13" customHeight="1">
      <c r="A34" s="30"/>
      <c r="B34" s="420" t="str">
        <f>Eingabe!C3</f>
        <v>Instandsetzung Kappe</v>
      </c>
      <c r="C34" s="531"/>
      <c r="D34" s="402"/>
      <c r="E34" s="31"/>
      <c r="F34" s="402"/>
      <c r="G34" s="30"/>
      <c r="H34" s="402"/>
      <c r="I34" s="402"/>
      <c r="J34" s="31"/>
      <c r="K34" s="402"/>
      <c r="L34" s="402"/>
      <c r="M34" s="402"/>
      <c r="N34" s="531"/>
      <c r="O34" s="531"/>
      <c r="P34" s="531"/>
      <c r="Q34" s="531"/>
      <c r="R34" s="531"/>
      <c r="S34" s="531"/>
      <c r="T34" s="531"/>
      <c r="U34" s="531"/>
      <c r="V34" s="531"/>
      <c r="W34" s="531"/>
      <c r="X34" s="531"/>
      <c r="Y34" s="531"/>
      <c r="Z34" s="531"/>
      <c r="AA34" s="531"/>
    </row>
    <row r="35" spans="1:27" s="1" customFormat="1" ht="15.45" customHeight="1">
      <c r="A35" s="1097" t="s">
        <v>578</v>
      </c>
      <c r="B35" s="1065"/>
      <c r="C35" s="1065"/>
      <c r="D35" s="1065"/>
      <c r="E35" s="1066"/>
      <c r="F35" s="402"/>
      <c r="G35" s="30"/>
      <c r="H35" s="402"/>
      <c r="I35" s="402"/>
      <c r="J35" s="31"/>
      <c r="K35" s="402"/>
      <c r="L35" s="402"/>
      <c r="M35" s="402"/>
      <c r="N35" s="531"/>
      <c r="O35" s="531"/>
      <c r="P35" s="531"/>
      <c r="Q35" s="531"/>
      <c r="R35" s="531"/>
      <c r="S35" s="531"/>
      <c r="T35" s="531"/>
      <c r="U35" s="531"/>
      <c r="V35" s="531"/>
      <c r="W35" s="531"/>
      <c r="X35" s="531"/>
      <c r="Y35" s="531"/>
      <c r="Z35" s="531"/>
      <c r="AA35" s="531"/>
    </row>
    <row r="36" spans="1:27" s="1" customFormat="1" ht="13" customHeight="1">
      <c r="A36" s="403"/>
      <c r="B36" s="635"/>
      <c r="C36" s="1093"/>
      <c r="D36" s="1093"/>
      <c r="E36" s="1094"/>
      <c r="F36" s="402"/>
      <c r="G36" s="30"/>
      <c r="H36" s="402"/>
      <c r="I36" s="402"/>
      <c r="J36" s="31"/>
      <c r="K36" s="402"/>
      <c r="L36" s="402"/>
      <c r="M36" s="402"/>
      <c r="N36" s="531"/>
      <c r="O36" s="531"/>
      <c r="P36" s="531"/>
      <c r="Q36" s="531"/>
      <c r="R36" s="531"/>
      <c r="S36" s="531"/>
      <c r="T36" s="531"/>
      <c r="U36" s="531"/>
      <c r="V36" s="531"/>
      <c r="W36" s="531"/>
      <c r="X36" s="531"/>
      <c r="Y36" s="531"/>
      <c r="Z36" s="531"/>
      <c r="AA36" s="531"/>
    </row>
    <row r="37" spans="1:27" s="1" customFormat="1" ht="13" customHeight="1">
      <c r="A37" s="30"/>
      <c r="B37" s="599" t="s">
        <v>25</v>
      </c>
      <c r="C37" s="60"/>
      <c r="D37" s="494" t="str">
        <f>Eingabe!C6</f>
        <v>C 35/45; gerissen</v>
      </c>
      <c r="E37" s="598"/>
      <c r="F37" s="402"/>
      <c r="G37" s="30"/>
      <c r="H37" s="402"/>
      <c r="I37" s="402"/>
      <c r="J37" s="31"/>
      <c r="K37" s="402"/>
      <c r="L37" s="402"/>
      <c r="M37" s="402"/>
      <c r="N37" s="531"/>
      <c r="O37" s="531"/>
      <c r="P37" s="531"/>
      <c r="Q37" s="531"/>
      <c r="R37" s="531"/>
      <c r="S37" s="531"/>
      <c r="T37" s="531"/>
      <c r="U37" s="531"/>
      <c r="V37" s="531"/>
      <c r="W37" s="531"/>
      <c r="X37" s="531"/>
      <c r="Y37" s="531"/>
      <c r="Z37" s="531"/>
      <c r="AA37" s="531"/>
    </row>
    <row r="38" spans="1:27" s="1" customFormat="1" ht="13" customHeight="1">
      <c r="A38" s="30"/>
      <c r="B38" s="599" t="s">
        <v>31</v>
      </c>
      <c r="C38" s="600"/>
      <c r="D38" s="587">
        <f>Eingabe!C7</f>
        <v>1200</v>
      </c>
      <c r="E38" s="588" t="s">
        <v>0</v>
      </c>
      <c r="F38" s="402"/>
      <c r="G38" s="30"/>
      <c r="H38" s="402"/>
      <c r="I38" s="402"/>
      <c r="J38" s="31"/>
      <c r="K38" s="402"/>
      <c r="L38" s="402"/>
      <c r="M38" s="402"/>
      <c r="N38" s="531"/>
      <c r="O38" s="531"/>
      <c r="P38" s="531"/>
      <c r="Q38" s="531"/>
      <c r="R38" s="531"/>
      <c r="S38" s="531"/>
      <c r="T38" s="531"/>
      <c r="U38" s="531"/>
      <c r="V38" s="531"/>
      <c r="W38" s="531"/>
      <c r="X38" s="531"/>
      <c r="Y38" s="531"/>
      <c r="Z38" s="531"/>
      <c r="AA38" s="531"/>
    </row>
    <row r="39" spans="1:27" s="1" customFormat="1" ht="13" customHeight="1">
      <c r="A39" s="30"/>
      <c r="B39" s="217" t="s">
        <v>33</v>
      </c>
      <c r="C39" s="60"/>
      <c r="D39" s="587">
        <f>Eingabe!C9</f>
        <v>10</v>
      </c>
      <c r="E39" s="588" t="s">
        <v>0</v>
      </c>
      <c r="F39" s="402"/>
      <c r="G39" s="30"/>
      <c r="H39" s="402"/>
      <c r="I39" s="402"/>
      <c r="J39" s="31"/>
      <c r="K39" s="402"/>
      <c r="L39" s="402"/>
      <c r="M39" s="402"/>
      <c r="N39" s="531"/>
      <c r="O39" s="531"/>
      <c r="P39" s="531"/>
      <c r="Q39" s="531"/>
      <c r="R39" s="531"/>
      <c r="S39" s="531"/>
      <c r="T39" s="531"/>
      <c r="U39" s="531"/>
      <c r="V39" s="531"/>
      <c r="W39" s="531"/>
      <c r="X39" s="531"/>
      <c r="Y39" s="531"/>
      <c r="Z39" s="531"/>
      <c r="AA39" s="531"/>
    </row>
    <row r="40" spans="1:27" s="1" customFormat="1" ht="13" customHeight="1">
      <c r="A40" s="30"/>
      <c r="B40" s="1070" t="s">
        <v>603</v>
      </c>
      <c r="C40" s="1071"/>
      <c r="D40" s="631">
        <f>Eingabe!J28</f>
        <v>500</v>
      </c>
      <c r="E40" s="588" t="str">
        <f>Eingabe!D10</f>
        <v>[mm]</v>
      </c>
      <c r="F40" s="402"/>
      <c r="G40" s="30"/>
      <c r="H40" s="402"/>
      <c r="I40" s="402"/>
      <c r="J40" s="31"/>
      <c r="K40" s="402"/>
      <c r="L40" s="402"/>
      <c r="M40" s="402"/>
      <c r="N40" s="531"/>
      <c r="O40" s="531"/>
      <c r="P40" s="531"/>
      <c r="Q40" s="531"/>
      <c r="R40" s="531"/>
      <c r="S40" s="531"/>
      <c r="T40" s="531"/>
      <c r="U40" s="531"/>
      <c r="V40" s="531"/>
      <c r="W40" s="531"/>
      <c r="X40" s="531"/>
      <c r="Y40" s="531"/>
      <c r="Z40" s="531"/>
      <c r="AA40" s="531"/>
    </row>
    <row r="41" spans="1:27" s="1" customFormat="1" ht="13" customHeight="1">
      <c r="A41" s="30"/>
      <c r="B41" s="1070" t="s">
        <v>604</v>
      </c>
      <c r="C41" s="1071"/>
      <c r="D41" s="631">
        <f>Eingabe!J32</f>
        <v>550</v>
      </c>
      <c r="E41" s="632" t="s">
        <v>0</v>
      </c>
      <c r="F41" s="402"/>
      <c r="G41" s="30"/>
      <c r="H41" s="402"/>
      <c r="I41" s="402"/>
      <c r="J41" s="31"/>
      <c r="K41" s="402"/>
      <c r="L41" s="402"/>
      <c r="M41" s="402"/>
      <c r="N41" s="531"/>
      <c r="O41" s="531"/>
      <c r="P41" s="531"/>
      <c r="Q41" s="531"/>
      <c r="R41" s="531"/>
      <c r="S41" s="531"/>
      <c r="T41" s="531"/>
      <c r="U41" s="531"/>
      <c r="V41" s="531"/>
      <c r="W41" s="531"/>
      <c r="X41" s="531"/>
      <c r="Y41" s="531"/>
      <c r="Z41" s="531"/>
      <c r="AA41" s="531"/>
    </row>
    <row r="42" spans="1:27" s="1" customFormat="1" ht="13" customHeight="1">
      <c r="A42" s="30"/>
      <c r="B42" s="217" t="s">
        <v>561</v>
      </c>
      <c r="C42" s="589"/>
      <c r="D42" s="587">
        <f>Eingabe!C17</f>
        <v>260</v>
      </c>
      <c r="E42" s="588" t="s">
        <v>0</v>
      </c>
      <c r="F42" s="402"/>
      <c r="G42" s="30"/>
      <c r="H42" s="402"/>
      <c r="I42" s="402"/>
      <c r="J42" s="31"/>
      <c r="K42" s="402"/>
      <c r="L42" s="402"/>
      <c r="M42" s="402"/>
      <c r="N42" s="531"/>
      <c r="O42" s="531"/>
      <c r="P42" s="531"/>
      <c r="Q42" s="531"/>
      <c r="R42" s="531"/>
      <c r="S42" s="531"/>
      <c r="T42" s="531"/>
      <c r="U42" s="531"/>
      <c r="V42" s="531"/>
      <c r="W42" s="531"/>
      <c r="X42" s="531"/>
      <c r="Y42" s="531"/>
      <c r="Z42" s="531"/>
      <c r="AA42" s="531"/>
    </row>
    <row r="43" spans="1:27" s="421" customFormat="1" ht="13" customHeight="1">
      <c r="A43" s="30"/>
      <c r="B43" s="599" t="s">
        <v>564</v>
      </c>
      <c r="C43" s="600"/>
      <c r="D43" s="587">
        <f>Eingabe!C8</f>
        <v>200</v>
      </c>
      <c r="E43" s="588" t="s">
        <v>0</v>
      </c>
      <c r="F43" s="402"/>
      <c r="G43" s="30"/>
      <c r="H43" s="402"/>
      <c r="I43" s="402"/>
      <c r="J43" s="31"/>
      <c r="K43" s="402"/>
      <c r="L43" s="402"/>
      <c r="M43" s="402"/>
      <c r="N43" s="531"/>
      <c r="O43" s="531"/>
      <c r="P43" s="531"/>
      <c r="Q43" s="531"/>
      <c r="R43" s="531"/>
      <c r="S43" s="531"/>
      <c r="T43" s="531"/>
      <c r="U43" s="531"/>
      <c r="V43" s="531"/>
      <c r="W43" s="531"/>
      <c r="X43" s="531"/>
      <c r="Y43" s="531"/>
      <c r="Z43" s="531"/>
      <c r="AA43" s="531"/>
    </row>
    <row r="44" spans="1:27" s="1" customFormat="1" ht="13" customHeight="1">
      <c r="A44" s="30"/>
      <c r="B44" s="217" t="s">
        <v>207</v>
      </c>
      <c r="C44" s="60"/>
      <c r="D44" s="587">
        <f>IF(Eingabe!AD32=1,Eingabe!C10,Eingabe!V79)</f>
        <v>140</v>
      </c>
      <c r="E44" s="632" t="s">
        <v>0</v>
      </c>
      <c r="F44" s="402"/>
      <c r="G44" s="30"/>
      <c r="H44" s="402"/>
      <c r="I44" s="402"/>
      <c r="J44" s="31"/>
      <c r="K44" s="402"/>
      <c r="L44" s="402"/>
      <c r="M44" s="402"/>
      <c r="N44" s="531"/>
      <c r="O44" s="531"/>
      <c r="P44" s="531"/>
      <c r="Q44" s="531"/>
      <c r="R44" s="531"/>
      <c r="S44" s="531"/>
      <c r="T44" s="531"/>
      <c r="U44" s="531"/>
      <c r="V44" s="531"/>
      <c r="W44" s="531"/>
      <c r="X44" s="531"/>
      <c r="Y44" s="531"/>
      <c r="Z44" s="531"/>
      <c r="AA44" s="531"/>
    </row>
    <row r="45" spans="1:27" s="604" customFormat="1" ht="13" customHeight="1">
      <c r="A45" s="30"/>
      <c r="B45" s="217" t="s">
        <v>611</v>
      </c>
      <c r="C45" s="60"/>
      <c r="D45" s="587">
        <f>Eingabe!W37</f>
        <v>28</v>
      </c>
      <c r="E45" s="632" t="s">
        <v>0</v>
      </c>
      <c r="F45" s="402"/>
      <c r="G45" s="30"/>
      <c r="H45" s="402"/>
      <c r="I45" s="402"/>
      <c r="J45" s="31"/>
      <c r="K45" s="402"/>
      <c r="L45" s="402"/>
      <c r="M45" s="402"/>
    </row>
    <row r="46" spans="1:27" s="1" customFormat="1" ht="23.9" customHeight="1">
      <c r="A46" s="1104" t="s">
        <v>609</v>
      </c>
      <c r="B46" s="1105"/>
      <c r="C46" s="1105"/>
      <c r="D46" s="1105"/>
      <c r="E46" s="1106"/>
      <c r="F46" s="402"/>
      <c r="G46" s="30"/>
      <c r="H46" s="402"/>
      <c r="I46" s="402"/>
      <c r="J46" s="31"/>
      <c r="K46" s="402"/>
      <c r="L46" s="402"/>
      <c r="M46" s="402"/>
      <c r="N46" s="531"/>
      <c r="O46" s="531"/>
      <c r="P46" s="531"/>
      <c r="Q46" s="531"/>
      <c r="R46" s="531"/>
      <c r="S46" s="531"/>
      <c r="T46" s="531"/>
      <c r="U46" s="531"/>
      <c r="V46" s="531"/>
      <c r="W46" s="531"/>
      <c r="X46" s="531"/>
      <c r="Y46" s="531"/>
      <c r="Z46" s="531"/>
      <c r="AA46" s="531"/>
    </row>
    <row r="47" spans="1:27" s="1" customFormat="1" ht="15.55">
      <c r="A47" s="1097" t="s">
        <v>117</v>
      </c>
      <c r="B47" s="1065"/>
      <c r="C47" s="1065"/>
      <c r="D47" s="1065"/>
      <c r="E47" s="1066"/>
      <c r="F47" s="29"/>
      <c r="G47" s="30"/>
      <c r="H47" s="402"/>
      <c r="I47" s="402"/>
      <c r="J47" s="31"/>
      <c r="K47" s="402"/>
      <c r="L47" s="402"/>
      <c r="M47" s="402"/>
      <c r="N47" s="531"/>
      <c r="O47" s="531"/>
      <c r="P47" s="531"/>
      <c r="Q47" s="531"/>
      <c r="R47" s="531"/>
      <c r="S47" s="531"/>
      <c r="T47" s="531"/>
      <c r="U47" s="531"/>
      <c r="V47" s="531"/>
      <c r="W47" s="531"/>
      <c r="X47" s="531"/>
      <c r="Y47" s="531"/>
      <c r="Z47" s="531"/>
      <c r="AA47" s="531"/>
    </row>
    <row r="48" spans="1:27" s="1" customFormat="1" ht="13" customHeight="1">
      <c r="A48" s="403"/>
      <c r="B48" s="416"/>
      <c r="C48" s="416"/>
      <c r="D48" s="416"/>
      <c r="E48" s="417"/>
      <c r="F48" s="402"/>
      <c r="G48" s="30"/>
      <c r="H48" s="402"/>
      <c r="I48" s="402"/>
      <c r="J48" s="31"/>
      <c r="K48" s="402"/>
      <c r="L48" s="402"/>
      <c r="M48" s="402"/>
      <c r="N48" s="531"/>
      <c r="O48" s="531"/>
      <c r="P48" s="531"/>
      <c r="Q48" s="531"/>
      <c r="R48" s="531"/>
      <c r="S48" s="531"/>
      <c r="T48" s="531"/>
      <c r="U48" s="531"/>
      <c r="V48" s="531"/>
      <c r="W48" s="531"/>
      <c r="X48" s="531"/>
      <c r="Y48" s="531"/>
      <c r="Z48" s="531"/>
      <c r="AA48" s="531"/>
    </row>
    <row r="49" spans="1:27" s="1" customFormat="1" ht="13" customHeight="1">
      <c r="A49" s="33"/>
      <c r="B49" s="647" t="s">
        <v>25</v>
      </c>
      <c r="C49" s="648"/>
      <c r="D49" s="663" t="str">
        <f>Eingabe!C13</f>
        <v>C 25/30 (LP); gerissen</v>
      </c>
      <c r="E49" s="588"/>
      <c r="F49" s="402"/>
      <c r="G49" s="33"/>
      <c r="H49" s="29"/>
      <c r="I49" s="29"/>
      <c r="J49" s="34"/>
      <c r="K49" s="29"/>
      <c r="L49" s="402"/>
      <c r="M49" s="402"/>
      <c r="N49" s="531"/>
      <c r="O49" s="531"/>
      <c r="P49" s="531"/>
      <c r="Q49" s="531"/>
      <c r="R49" s="531"/>
      <c r="S49" s="531"/>
      <c r="T49" s="531"/>
      <c r="U49" s="531"/>
      <c r="V49" s="531"/>
      <c r="W49" s="531"/>
      <c r="X49" s="531"/>
      <c r="Y49" s="531"/>
      <c r="Z49" s="531"/>
      <c r="AA49" s="531"/>
    </row>
    <row r="50" spans="1:27" s="1" customFormat="1" ht="13" customHeight="1">
      <c r="A50" s="30"/>
      <c r="B50" s="17" t="s">
        <v>1153</v>
      </c>
      <c r="C50" s="597"/>
      <c r="D50" s="1107" t="str">
        <f>Eingabe!C14&amp;"      [kg/m3]"</f>
        <v>1600      [kg/m3]</v>
      </c>
      <c r="E50" s="1108"/>
      <c r="F50" s="402"/>
      <c r="G50" s="30"/>
      <c r="H50" s="402"/>
      <c r="I50" s="402"/>
      <c r="J50" s="31"/>
      <c r="K50" s="402"/>
      <c r="L50" s="402"/>
      <c r="M50" s="402"/>
      <c r="N50" s="531"/>
      <c r="O50" s="531"/>
      <c r="P50" s="531"/>
      <c r="Q50" s="531"/>
      <c r="R50" s="531"/>
      <c r="S50" s="531"/>
      <c r="T50" s="531"/>
      <c r="U50" s="531"/>
      <c r="V50" s="531"/>
      <c r="W50" s="531"/>
      <c r="X50" s="531"/>
      <c r="Y50" s="531"/>
      <c r="Z50" s="531"/>
      <c r="AA50" s="531"/>
    </row>
    <row r="51" spans="1:27" s="1" customFormat="1" ht="13" customHeight="1">
      <c r="A51" s="30"/>
      <c r="B51" s="269" t="s">
        <v>206</v>
      </c>
      <c r="C51" s="402"/>
      <c r="D51" s="665" t="str">
        <f>LEFT(Eingabe!C12,FIND("m",Eingabe!C12)-1)</f>
        <v xml:space="preserve">≤ 1,70 </v>
      </c>
      <c r="E51" s="493" t="s">
        <v>551</v>
      </c>
      <c r="F51" s="402"/>
      <c r="G51" s="30"/>
      <c r="H51" s="402"/>
      <c r="I51" s="402"/>
      <c r="J51" s="31"/>
      <c r="K51" s="402"/>
      <c r="L51" s="402"/>
      <c r="M51" s="402"/>
      <c r="N51" s="531"/>
      <c r="O51" s="402"/>
      <c r="P51" s="402"/>
      <c r="Q51" s="402"/>
      <c r="R51" s="402"/>
      <c r="S51" s="402"/>
      <c r="T51" s="402"/>
      <c r="U51" s="402"/>
      <c r="V51" s="402"/>
      <c r="W51" s="402"/>
      <c r="X51" s="531"/>
      <c r="Y51" s="531"/>
      <c r="Z51" s="531"/>
      <c r="AA51" s="531"/>
    </row>
    <row r="52" spans="1:27" s="1" customFormat="1" ht="13" customHeight="1">
      <c r="A52" s="30"/>
      <c r="B52" s="1072" t="s">
        <v>126</v>
      </c>
      <c r="C52" s="1073"/>
      <c r="D52" s="587">
        <f>Eingabe!C16</f>
        <v>300</v>
      </c>
      <c r="E52" s="633" t="s">
        <v>0</v>
      </c>
      <c r="F52" s="402"/>
      <c r="G52" s="30"/>
      <c r="H52" s="402"/>
      <c r="I52" s="402"/>
      <c r="J52" s="31"/>
      <c r="K52" s="402"/>
      <c r="L52" s="402"/>
      <c r="M52" s="402"/>
      <c r="N52" s="531"/>
      <c r="O52" s="402"/>
      <c r="P52" s="402"/>
      <c r="Q52" s="402"/>
      <c r="R52" s="402"/>
      <c r="S52" s="402"/>
      <c r="T52" s="402"/>
      <c r="U52" s="402"/>
      <c r="V52" s="402"/>
      <c r="W52" s="402"/>
      <c r="X52" s="531"/>
      <c r="Y52" s="531"/>
      <c r="Z52" s="531"/>
      <c r="AA52" s="531"/>
    </row>
    <row r="53" spans="1:27" s="1" customFormat="1" ht="13" customHeight="1">
      <c r="A53" s="30"/>
      <c r="B53" s="647" t="s">
        <v>408</v>
      </c>
      <c r="C53" s="597"/>
      <c r="D53" s="494" t="str">
        <f>Eingabe!C15</f>
        <v>Sechskantmutter M24</v>
      </c>
      <c r="E53" s="31"/>
      <c r="F53" s="402"/>
      <c r="G53" s="30"/>
      <c r="H53" s="402"/>
      <c r="I53" s="402"/>
      <c r="J53" s="31"/>
      <c r="K53" s="402"/>
      <c r="L53" s="402"/>
      <c r="M53" s="402"/>
      <c r="N53" s="531"/>
      <c r="O53" s="402"/>
      <c r="P53" s="402"/>
      <c r="Q53" s="402"/>
      <c r="R53" s="402"/>
      <c r="S53" s="402"/>
      <c r="T53" s="402"/>
      <c r="U53" s="402"/>
      <c r="V53" s="402"/>
      <c r="W53" s="402"/>
      <c r="X53" s="531"/>
      <c r="Y53" s="531"/>
      <c r="Z53" s="531"/>
      <c r="AA53" s="531"/>
    </row>
    <row r="54" spans="1:27" s="1" customFormat="1" ht="13" customHeight="1">
      <c r="A54" s="30"/>
      <c r="B54" s="647" t="s">
        <v>607</v>
      </c>
      <c r="C54" s="402"/>
      <c r="D54" s="586">
        <f>IF(Eingabe!C19=0,"0",Eingabe!C19)</f>
        <v>50</v>
      </c>
      <c r="E54" s="588" t="s">
        <v>0</v>
      </c>
      <c r="F54" s="402"/>
      <c r="G54" s="30"/>
      <c r="H54" s="402"/>
      <c r="I54" s="402"/>
      <c r="J54" s="31"/>
      <c r="K54" s="402"/>
      <c r="L54" s="402"/>
      <c r="M54" s="402"/>
      <c r="N54" s="531"/>
      <c r="O54" s="402"/>
      <c r="P54" s="402"/>
      <c r="Q54" s="402"/>
      <c r="R54" s="402"/>
      <c r="S54" s="402"/>
      <c r="T54" s="402"/>
      <c r="U54" s="402"/>
      <c r="V54" s="402"/>
      <c r="W54" s="402"/>
      <c r="X54" s="531"/>
      <c r="Y54" s="531"/>
      <c r="Z54" s="531"/>
      <c r="AA54" s="531"/>
    </row>
    <row r="55" spans="1:27" s="1" customFormat="1" ht="13" customHeight="1">
      <c r="A55" s="30"/>
      <c r="B55" s="1072" t="s">
        <v>139</v>
      </c>
      <c r="C55" s="1073"/>
      <c r="D55" s="587">
        <f>Eingabe!C18</f>
        <v>145</v>
      </c>
      <c r="E55" s="588" t="s">
        <v>0</v>
      </c>
      <c r="F55" s="402"/>
      <c r="G55" s="1074"/>
      <c r="H55" s="1075"/>
      <c r="I55" s="1075"/>
      <c r="J55" s="1076"/>
      <c r="K55" s="490"/>
      <c r="L55" s="402"/>
      <c r="M55" s="402"/>
      <c r="N55" s="531"/>
      <c r="O55" s="531"/>
      <c r="P55" s="531"/>
      <c r="Q55" s="531"/>
      <c r="R55" s="531"/>
      <c r="S55" s="531"/>
      <c r="T55" s="531"/>
      <c r="U55" s="531"/>
      <c r="V55" s="531"/>
      <c r="W55" s="531"/>
      <c r="X55" s="531"/>
      <c r="Y55" s="531"/>
      <c r="Z55" s="531"/>
      <c r="AA55" s="531"/>
    </row>
    <row r="56" spans="1:27" s="1" customFormat="1" ht="13" customHeight="1">
      <c r="A56" s="30"/>
      <c r="B56" s="217" t="s">
        <v>411</v>
      </c>
      <c r="C56" s="60"/>
      <c r="D56" s="587">
        <f>Eingabe!C21</f>
        <v>76</v>
      </c>
      <c r="E56" s="588" t="str">
        <f>Eingabe!D16</f>
        <v>[mm]</v>
      </c>
      <c r="F56" s="402"/>
      <c r="G56" s="30"/>
      <c r="H56" s="402"/>
      <c r="I56" s="402"/>
      <c r="J56" s="31"/>
      <c r="K56" s="15"/>
      <c r="L56" s="402"/>
      <c r="M56" s="402"/>
      <c r="N56" s="531"/>
      <c r="O56" s="531"/>
      <c r="P56" s="531"/>
      <c r="Q56" s="531"/>
      <c r="R56" s="531"/>
      <c r="S56" s="531"/>
      <c r="T56" s="531"/>
      <c r="U56" s="531"/>
      <c r="V56" s="531"/>
      <c r="W56" s="531"/>
      <c r="X56" s="531"/>
      <c r="Y56" s="531"/>
      <c r="Z56" s="531"/>
      <c r="AA56" s="531"/>
    </row>
    <row r="57" spans="1:27" s="1" customFormat="1" ht="23.5" customHeight="1">
      <c r="A57" s="5"/>
      <c r="B57" s="661" t="s">
        <v>605</v>
      </c>
      <c r="C57" s="32"/>
      <c r="D57" s="662">
        <f>SUM(Eingabe!C21+Eingabe!C20)</f>
        <v>95</v>
      </c>
      <c r="E57" s="480" t="str">
        <f>Eingabe!D17</f>
        <v>[mm]</v>
      </c>
      <c r="F57" s="402"/>
      <c r="G57" s="1040" t="str">
        <f>Eingabe!T79</f>
        <v>projektspez. HCC-Art.-Set: HIT-C-R M24x243</v>
      </c>
      <c r="H57" s="1032"/>
      <c r="I57" s="1032"/>
      <c r="J57" s="1082"/>
      <c r="K57" s="491"/>
      <c r="L57" s="402"/>
      <c r="M57" s="402"/>
      <c r="N57" s="531"/>
      <c r="O57" s="531"/>
      <c r="P57" s="531"/>
      <c r="Q57" s="531"/>
      <c r="R57" s="531"/>
      <c r="S57" s="531"/>
      <c r="T57" s="531"/>
      <c r="U57" s="531"/>
      <c r="V57" s="531"/>
      <c r="W57" s="531"/>
      <c r="X57" s="531"/>
      <c r="Y57" s="531"/>
      <c r="Z57" s="531"/>
      <c r="AA57" s="531"/>
    </row>
    <row r="58" spans="1:27" s="1" customFormat="1" ht="16" customHeight="1">
      <c r="A58" s="1079" t="s">
        <v>546</v>
      </c>
      <c r="B58" s="1080"/>
      <c r="C58" s="1080"/>
      <c r="D58" s="1080"/>
      <c r="E58" s="1081"/>
      <c r="F58" s="402"/>
      <c r="G58" s="1040" t="s">
        <v>596</v>
      </c>
      <c r="H58" s="1032"/>
      <c r="I58" s="1032"/>
      <c r="J58" s="1082"/>
      <c r="K58" s="402"/>
      <c r="L58" s="402"/>
      <c r="M58" s="402"/>
      <c r="N58" s="531"/>
      <c r="O58" s="531"/>
      <c r="P58" s="531"/>
      <c r="Q58" s="531"/>
      <c r="R58" s="531"/>
      <c r="S58" s="531"/>
      <c r="T58" s="531"/>
      <c r="U58" s="531"/>
      <c r="V58" s="531"/>
      <c r="W58" s="531"/>
      <c r="X58" s="531"/>
      <c r="Y58" s="531"/>
      <c r="Z58" s="531"/>
      <c r="AA58" s="531"/>
    </row>
    <row r="59" spans="1:27" s="475" customFormat="1" ht="14.15" customHeight="1">
      <c r="A59" s="403"/>
      <c r="B59" s="416" t="str">
        <f>LEFT(Eingabe!F4,FIND(",",Eingabe!F4)-1)</f>
        <v>Bitumen-Schweißbahn einlagig + Schutzlage</v>
      </c>
      <c r="C59" s="402"/>
      <c r="D59" s="402"/>
      <c r="E59" s="417"/>
      <c r="F59" s="402"/>
      <c r="G59" s="1077" t="str">
        <f>IF(Eingabe!M79=Eingabe!Y56,Eingabe!S55&amp;Eingabe!C15&amp;Eingabe!S56,"Falsche Dimension Kopfbolzen")</f>
        <v xml:space="preserve">und Sechskantmutter M24 </v>
      </c>
      <c r="H59" s="1034"/>
      <c r="I59" s="1034"/>
      <c r="J59" s="1078"/>
      <c r="K59" s="402"/>
      <c r="L59" s="402"/>
      <c r="M59" s="402"/>
      <c r="N59" s="531"/>
      <c r="O59" s="531"/>
      <c r="P59" s="531"/>
      <c r="Q59" s="531"/>
      <c r="R59" s="531"/>
      <c r="S59" s="531"/>
      <c r="T59" s="531"/>
      <c r="U59" s="531"/>
      <c r="V59" s="531"/>
      <c r="W59" s="531"/>
      <c r="X59" s="531"/>
      <c r="Y59" s="531"/>
      <c r="Z59" s="531"/>
      <c r="AA59" s="531"/>
    </row>
    <row r="60" spans="1:27" s="475" customFormat="1" ht="16.7" customHeight="1">
      <c r="A60" s="5"/>
      <c r="B60" s="477" t="s">
        <v>606</v>
      </c>
      <c r="C60" s="476"/>
      <c r="D60" s="481">
        <f>IF(Eingabe!O105=0,"0",Eingabe!O105)</f>
        <v>8</v>
      </c>
      <c r="E60" s="482" t="str">
        <f>Eingabe!D21</f>
        <v>[mm]</v>
      </c>
      <c r="F60" s="402"/>
      <c r="G60" s="1043" t="s">
        <v>582</v>
      </c>
      <c r="H60" s="1044"/>
      <c r="I60" s="1044"/>
      <c r="J60" s="1045"/>
      <c r="K60" s="402"/>
      <c r="L60" s="402"/>
      <c r="M60" s="402"/>
      <c r="N60" s="531"/>
      <c r="O60" s="531"/>
      <c r="P60" s="531"/>
      <c r="Q60" s="531"/>
      <c r="R60" s="531"/>
      <c r="S60" s="531"/>
      <c r="T60" s="531"/>
      <c r="U60" s="531"/>
      <c r="V60" s="531"/>
      <c r="W60" s="531"/>
      <c r="X60" s="531"/>
      <c r="Y60" s="531"/>
      <c r="Z60" s="531"/>
      <c r="AA60" s="531"/>
    </row>
    <row r="61" spans="1:27" s="467" customFormat="1" ht="25.5" customHeight="1">
      <c r="A61" s="402"/>
      <c r="B61" s="521" t="str">
        <f>Eingabe!B2</f>
        <v xml:space="preserve">HILTI Design-Tool Kappenverankerung 8.3            </v>
      </c>
      <c r="C61" s="402"/>
      <c r="D61" s="402"/>
      <c r="E61" s="402"/>
      <c r="F61" s="402"/>
      <c r="G61" s="1034" t="str">
        <f>Eingabe!I2</f>
        <v>Version gültig bis 30.04.2021</v>
      </c>
      <c r="H61" s="1034"/>
      <c r="I61" s="1034"/>
      <c r="J61" s="1034"/>
      <c r="K61" s="402"/>
      <c r="L61" s="402"/>
      <c r="M61" s="402"/>
      <c r="N61" s="531"/>
      <c r="O61" s="531"/>
      <c r="P61" s="531"/>
      <c r="Q61" s="531"/>
      <c r="R61" s="531"/>
      <c r="S61" s="531"/>
      <c r="T61" s="531"/>
      <c r="U61" s="531"/>
      <c r="V61" s="531"/>
      <c r="W61" s="531"/>
      <c r="X61" s="531"/>
      <c r="Y61" s="531"/>
      <c r="Z61" s="531"/>
      <c r="AA61" s="531"/>
    </row>
    <row r="62" spans="1:27" s="1" customFormat="1" ht="15.55">
      <c r="A62" s="1035" t="s">
        <v>145</v>
      </c>
      <c r="B62" s="1035"/>
      <c r="C62" s="1035"/>
      <c r="D62" s="1035"/>
      <c r="E62" s="1035"/>
      <c r="F62" s="1035"/>
      <c r="G62" s="1035"/>
      <c r="H62" s="1035"/>
      <c r="I62" s="1035"/>
      <c r="J62" s="1035"/>
      <c r="K62" s="500"/>
      <c r="L62" s="402"/>
      <c r="M62" s="402"/>
      <c r="N62" s="531"/>
      <c r="O62" s="531"/>
      <c r="P62" s="531"/>
      <c r="Q62" s="531"/>
      <c r="R62" s="531"/>
      <c r="S62" s="531"/>
      <c r="T62" s="531"/>
      <c r="U62" s="531"/>
      <c r="V62" s="531"/>
      <c r="W62" s="531"/>
      <c r="X62" s="531"/>
      <c r="Y62" s="531"/>
      <c r="Z62" s="531"/>
      <c r="AA62" s="531"/>
    </row>
    <row r="63" spans="1:27" s="1" customFormat="1" ht="5.9" customHeight="1">
      <c r="A63" s="402"/>
      <c r="B63" s="402"/>
      <c r="C63" s="402"/>
      <c r="D63" s="9"/>
      <c r="E63" s="402"/>
      <c r="F63" s="402"/>
      <c r="G63" s="12"/>
      <c r="H63" s="12"/>
      <c r="I63" s="13"/>
      <c r="J63" s="12"/>
      <c r="K63" s="402"/>
      <c r="L63" s="402"/>
      <c r="M63" s="402"/>
      <c r="N63" s="531"/>
      <c r="O63" s="531"/>
      <c r="P63" s="531"/>
      <c r="Q63" s="531"/>
      <c r="R63" s="531"/>
      <c r="S63" s="531"/>
      <c r="T63" s="531"/>
      <c r="U63" s="531"/>
      <c r="V63" s="531"/>
      <c r="W63" s="531"/>
      <c r="X63" s="531"/>
      <c r="Y63" s="531"/>
      <c r="Z63" s="531"/>
      <c r="AA63" s="531"/>
    </row>
    <row r="64" spans="1:27" s="1" customFormat="1" ht="16" customHeight="1">
      <c r="A64" s="402"/>
      <c r="B64" s="1083" t="s">
        <v>438</v>
      </c>
      <c r="C64" s="1084"/>
      <c r="D64" s="1084"/>
      <c r="E64" s="1084"/>
      <c r="F64" s="1084"/>
      <c r="G64" s="1084"/>
      <c r="H64" s="1084"/>
      <c r="I64" s="1084"/>
      <c r="J64" s="1084"/>
      <c r="K64" s="211"/>
      <c r="L64" s="402"/>
      <c r="M64" s="402"/>
      <c r="N64" s="531"/>
      <c r="O64" s="531"/>
      <c r="P64" s="531"/>
      <c r="Q64" s="531"/>
      <c r="R64" s="531"/>
      <c r="S64" s="531"/>
      <c r="T64" s="531"/>
      <c r="U64" s="531"/>
      <c r="V64" s="531"/>
      <c r="W64" s="531"/>
      <c r="X64" s="531"/>
      <c r="Y64" s="531"/>
      <c r="Z64" s="531"/>
      <c r="AA64" s="531"/>
    </row>
    <row r="65" spans="1:27" s="1" customFormat="1" ht="14.15" customHeight="1">
      <c r="A65" s="402"/>
      <c r="B65" s="410" t="str">
        <f>Eingabe!C24</f>
        <v>Anprall Fahrzeugrückhaltesystem</v>
      </c>
      <c r="C65" s="402"/>
      <c r="D65" s="402"/>
      <c r="E65" s="402"/>
      <c r="F65" s="402"/>
      <c r="G65" s="531"/>
      <c r="H65" s="531"/>
      <c r="I65" s="525"/>
      <c r="J65" s="402"/>
      <c r="K65" s="17"/>
      <c r="L65" s="402"/>
      <c r="M65" s="402"/>
      <c r="N65" s="531"/>
      <c r="O65" s="531"/>
      <c r="P65" s="531"/>
      <c r="Q65" s="531"/>
      <c r="R65" s="531"/>
      <c r="S65" s="531"/>
      <c r="T65" s="531"/>
      <c r="U65" s="531"/>
      <c r="V65" s="531"/>
      <c r="W65" s="531"/>
      <c r="X65" s="531"/>
      <c r="Y65" s="531"/>
      <c r="Z65" s="531"/>
      <c r="AA65" s="531"/>
    </row>
    <row r="66" spans="1:27" s="1" customFormat="1" ht="14.15" customHeight="1">
      <c r="A66" s="402"/>
      <c r="B66" s="232" t="s">
        <v>289</v>
      </c>
      <c r="C66" s="531"/>
      <c r="D66" s="531"/>
      <c r="E66" s="531"/>
      <c r="F66" s="531"/>
      <c r="G66" s="164">
        <f>IF(Eingabe!C25=0,"0,0",Eingabe!C25)</f>
        <v>16.399999999999999</v>
      </c>
      <c r="H66" s="402" t="s">
        <v>101</v>
      </c>
      <c r="I66" s="525"/>
      <c r="J66" s="402"/>
      <c r="K66" s="17"/>
      <c r="L66" s="402"/>
      <c r="M66" s="402"/>
      <c r="N66" s="531"/>
      <c r="O66" s="531"/>
      <c r="P66" s="531"/>
      <c r="Q66" s="531"/>
      <c r="R66" s="531"/>
      <c r="S66" s="531"/>
      <c r="T66" s="531"/>
      <c r="U66" s="531"/>
      <c r="V66" s="531"/>
      <c r="W66" s="531"/>
      <c r="X66" s="531"/>
      <c r="Y66" s="531"/>
      <c r="Z66" s="531"/>
      <c r="AA66" s="531"/>
    </row>
    <row r="67" spans="1:27" s="1" customFormat="1" ht="17.850000000000001" customHeight="1">
      <c r="A67" s="402"/>
      <c r="B67" s="232" t="s">
        <v>439</v>
      </c>
      <c r="C67" s="408"/>
      <c r="D67" s="408"/>
      <c r="E67" s="408"/>
      <c r="F67" s="408"/>
      <c r="G67" s="409">
        <f>Eingabe!C26</f>
        <v>90.6</v>
      </c>
      <c r="H67" s="408" t="s">
        <v>98</v>
      </c>
      <c r="I67" s="525"/>
      <c r="J67" s="402"/>
      <c r="K67" s="17"/>
      <c r="L67" s="402"/>
      <c r="M67" s="402"/>
      <c r="N67" s="531"/>
      <c r="O67" s="531"/>
      <c r="P67" s="531"/>
      <c r="Q67" s="531"/>
      <c r="R67" s="531"/>
      <c r="S67" s="531"/>
      <c r="T67" s="531"/>
      <c r="U67" s="531"/>
      <c r="V67" s="531"/>
      <c r="W67" s="531"/>
      <c r="X67" s="531"/>
      <c r="Y67" s="531"/>
      <c r="Z67" s="531"/>
      <c r="AA67" s="531"/>
    </row>
    <row r="68" spans="1:27" s="1" customFormat="1" ht="70.7" customHeight="1">
      <c r="A68" s="402"/>
      <c r="B68" s="1069" t="s">
        <v>553</v>
      </c>
      <c r="C68" s="1069"/>
      <c r="D68" s="1069"/>
      <c r="E68" s="1069"/>
      <c r="F68" s="1069"/>
      <c r="G68" s="1069"/>
      <c r="H68" s="1069"/>
      <c r="I68" s="1069"/>
      <c r="J68" s="1069"/>
      <c r="K68" s="17"/>
      <c r="L68" s="402"/>
      <c r="M68" s="402"/>
      <c r="N68" s="531"/>
      <c r="O68" s="531"/>
      <c r="P68" s="531"/>
      <c r="Q68" s="531"/>
      <c r="R68" s="531"/>
      <c r="S68" s="531"/>
      <c r="T68" s="531"/>
      <c r="U68" s="531"/>
      <c r="V68" s="531"/>
      <c r="W68" s="531"/>
      <c r="X68" s="531"/>
      <c r="Y68" s="531"/>
      <c r="Z68" s="531"/>
      <c r="AA68" s="531"/>
    </row>
    <row r="69" spans="1:27" s="1" customFormat="1" ht="14.15" customHeight="1">
      <c r="A69" s="402"/>
      <c r="B69" s="69" t="s">
        <v>297</v>
      </c>
      <c r="C69" s="402"/>
      <c r="D69" s="402"/>
      <c r="E69" s="402"/>
      <c r="F69" s="402"/>
      <c r="G69" s="270">
        <f>IF(Eingabe!C29&gt;0,Eingabe!C29,"0,0")</f>
        <v>12</v>
      </c>
      <c r="H69" s="217" t="s">
        <v>287</v>
      </c>
      <c r="I69" s="525"/>
      <c r="J69" s="402"/>
      <c r="K69" s="17"/>
      <c r="L69" s="402"/>
      <c r="M69" s="402"/>
      <c r="N69" s="531"/>
      <c r="O69" s="531"/>
      <c r="P69" s="531"/>
      <c r="Q69" s="531"/>
      <c r="R69" s="531"/>
      <c r="S69" s="531"/>
      <c r="T69" s="531"/>
      <c r="U69" s="531"/>
      <c r="V69" s="531"/>
      <c r="W69" s="531"/>
      <c r="X69" s="531"/>
      <c r="Y69" s="531"/>
      <c r="Z69" s="531"/>
      <c r="AA69" s="531"/>
    </row>
    <row r="70" spans="1:27" s="1" customFormat="1" ht="14.15" customHeight="1">
      <c r="A70" s="402"/>
      <c r="B70" s="217" t="s">
        <v>298</v>
      </c>
      <c r="C70" s="60"/>
      <c r="D70" s="218"/>
      <c r="E70" s="60"/>
      <c r="F70" s="60"/>
      <c r="G70" s="164">
        <f>IF(Eingabe!C30&gt;0,Eingabe!C30,"0,0")</f>
        <v>12</v>
      </c>
      <c r="H70" s="217" t="s">
        <v>287</v>
      </c>
      <c r="I70" s="525"/>
      <c r="J70" s="402"/>
      <c r="K70" s="17"/>
      <c r="L70" s="402"/>
      <c r="M70" s="402"/>
      <c r="N70" s="531"/>
      <c r="O70" s="531"/>
      <c r="P70" s="531"/>
      <c r="Q70" s="531"/>
      <c r="R70" s="531"/>
      <c r="S70" s="531"/>
      <c r="T70" s="531"/>
      <c r="U70" s="531"/>
      <c r="V70" s="531"/>
      <c r="W70" s="531"/>
      <c r="X70" s="531"/>
      <c r="Y70" s="531"/>
      <c r="Z70" s="531"/>
      <c r="AA70" s="531"/>
    </row>
    <row r="71" spans="1:27" s="1" customFormat="1" ht="6.8" customHeight="1">
      <c r="A71" s="402"/>
      <c r="B71" s="402"/>
      <c r="C71" s="402"/>
      <c r="D71" s="402"/>
      <c r="E71" s="402"/>
      <c r="F71" s="402"/>
      <c r="G71" s="402"/>
      <c r="H71" s="402"/>
      <c r="I71" s="402"/>
      <c r="J71" s="402"/>
      <c r="K71" s="17"/>
      <c r="L71" s="402"/>
      <c r="M71" s="402"/>
      <c r="N71" s="531"/>
      <c r="O71" s="531"/>
      <c r="P71" s="531"/>
      <c r="Q71" s="531"/>
      <c r="R71" s="531"/>
      <c r="S71" s="531"/>
      <c r="T71" s="531"/>
      <c r="U71" s="531"/>
      <c r="V71" s="531"/>
      <c r="W71" s="531"/>
      <c r="X71" s="531"/>
      <c r="Y71" s="531"/>
      <c r="Z71" s="531"/>
      <c r="AA71" s="531"/>
    </row>
    <row r="72" spans="1:27" s="488" customFormat="1" ht="16" customHeight="1">
      <c r="A72" s="928" t="s">
        <v>556</v>
      </c>
      <c r="B72" s="928"/>
      <c r="C72" s="928"/>
      <c r="D72" s="928"/>
      <c r="E72" s="928"/>
      <c r="F72" s="928"/>
      <c r="G72" s="928"/>
      <c r="H72" s="928"/>
      <c r="I72" s="928"/>
      <c r="J72" s="928"/>
      <c r="K72" s="17"/>
      <c r="L72" s="402"/>
      <c r="M72" s="402"/>
      <c r="N72" s="531"/>
      <c r="O72" s="531"/>
      <c r="P72" s="531"/>
      <c r="Q72" s="531"/>
      <c r="R72" s="531"/>
      <c r="S72" s="531"/>
      <c r="T72" s="531"/>
      <c r="U72" s="531"/>
      <c r="V72" s="531"/>
      <c r="W72" s="531"/>
      <c r="X72" s="531"/>
      <c r="Y72" s="531"/>
      <c r="Z72" s="531"/>
      <c r="AA72" s="531"/>
    </row>
    <row r="73" spans="1:27" s="488" customFormat="1" ht="5.9" customHeight="1">
      <c r="A73" s="402"/>
      <c r="B73" s="402"/>
      <c r="C73" s="402"/>
      <c r="D73" s="402"/>
      <c r="E73" s="402"/>
      <c r="F73" s="402"/>
      <c r="G73" s="402"/>
      <c r="H73" s="402"/>
      <c r="I73" s="402"/>
      <c r="J73" s="402"/>
      <c r="K73" s="17"/>
      <c r="L73" s="402"/>
      <c r="M73" s="402"/>
      <c r="N73" s="531"/>
      <c r="O73" s="531"/>
      <c r="P73" s="531"/>
      <c r="Q73" s="531"/>
      <c r="R73" s="531"/>
      <c r="S73" s="531"/>
      <c r="T73" s="531"/>
      <c r="U73" s="531"/>
      <c r="V73" s="531"/>
      <c r="W73" s="531"/>
      <c r="X73" s="531"/>
      <c r="Y73" s="531"/>
      <c r="Z73" s="531"/>
      <c r="AA73" s="531"/>
    </row>
    <row r="74" spans="1:27" s="1" customFormat="1" ht="14.15" customHeight="1">
      <c r="A74" s="402"/>
      <c r="B74" s="402"/>
      <c r="C74" s="1038" t="s">
        <v>273</v>
      </c>
      <c r="D74" s="1038"/>
      <c r="E74" s="1038"/>
      <c r="F74" s="1038"/>
      <c r="G74" s="1038"/>
      <c r="H74" s="1038"/>
      <c r="I74" s="402"/>
      <c r="J74" s="402"/>
      <c r="K74" s="211"/>
      <c r="L74" s="402"/>
      <c r="M74" s="402"/>
      <c r="N74" s="531"/>
      <c r="O74" s="531"/>
      <c r="P74" s="531"/>
      <c r="Q74" s="531"/>
      <c r="R74" s="531"/>
      <c r="S74" s="531"/>
      <c r="T74" s="531"/>
      <c r="U74" s="531"/>
      <c r="V74" s="531"/>
      <c r="W74" s="531"/>
      <c r="X74" s="531"/>
      <c r="Y74" s="531"/>
      <c r="Z74" s="531"/>
      <c r="AA74" s="531"/>
    </row>
    <row r="75" spans="1:27" s="1" customFormat="1" ht="14.15" customHeight="1">
      <c r="A75" s="402"/>
      <c r="B75" s="402"/>
      <c r="C75" s="519" t="s">
        <v>30</v>
      </c>
      <c r="D75" s="519" t="s">
        <v>117</v>
      </c>
      <c r="E75" s="27"/>
      <c r="F75" s="27"/>
      <c r="G75" s="519" t="s">
        <v>30</v>
      </c>
      <c r="H75" s="519" t="s">
        <v>117</v>
      </c>
      <c r="I75" s="402"/>
      <c r="J75" s="402"/>
      <c r="K75" s="17"/>
      <c r="L75" s="402"/>
      <c r="M75" s="402"/>
      <c r="N75" s="531"/>
      <c r="O75" s="531"/>
      <c r="P75" s="531"/>
      <c r="Q75" s="531"/>
      <c r="R75" s="531"/>
      <c r="S75" s="531"/>
      <c r="T75" s="531"/>
      <c r="U75" s="531"/>
      <c r="V75" s="531"/>
      <c r="W75" s="531"/>
      <c r="X75" s="531"/>
      <c r="Y75" s="531"/>
      <c r="Z75" s="531"/>
      <c r="AA75" s="531"/>
    </row>
    <row r="76" spans="1:27" s="1" customFormat="1" ht="14.15" customHeight="1">
      <c r="A76" s="402"/>
      <c r="B76" s="531"/>
      <c r="C76" s="1032" t="s">
        <v>290</v>
      </c>
      <c r="D76" s="1032"/>
      <c r="E76" s="520"/>
      <c r="F76" s="402"/>
      <c r="G76" s="1032" t="s">
        <v>291</v>
      </c>
      <c r="H76" s="1032"/>
      <c r="I76" s="520"/>
      <c r="J76" s="520"/>
      <c r="K76" s="17"/>
      <c r="L76" s="402"/>
      <c r="M76" s="402"/>
      <c r="N76" s="531"/>
      <c r="O76" s="531"/>
      <c r="P76" s="531"/>
      <c r="Q76" s="531"/>
      <c r="R76" s="531"/>
      <c r="S76" s="531"/>
      <c r="T76" s="531"/>
      <c r="U76" s="531"/>
      <c r="V76" s="531"/>
      <c r="W76" s="531"/>
      <c r="X76" s="531"/>
      <c r="Y76" s="531"/>
      <c r="Z76" s="531"/>
      <c r="AA76" s="531"/>
    </row>
    <row r="77" spans="1:27" s="1" customFormat="1" ht="14.15" customHeight="1">
      <c r="A77" s="402"/>
      <c r="B77" s="402" t="s">
        <v>74</v>
      </c>
      <c r="C77" s="220">
        <f>Eingabe!D41</f>
        <v>4.2779482683033754</v>
      </c>
      <c r="D77" s="220">
        <f>Eingabe!F41</f>
        <v>4.2779482683033754</v>
      </c>
      <c r="E77" s="221"/>
      <c r="F77" s="221"/>
      <c r="G77" s="222">
        <f>Eingabe!H41</f>
        <v>3.3432704953967556</v>
      </c>
      <c r="H77" s="222">
        <f>Eingabe!J41</f>
        <v>3.3432704953967556</v>
      </c>
      <c r="I77" s="17"/>
      <c r="J77" s="17"/>
      <c r="K77" s="17"/>
      <c r="L77" s="402"/>
      <c r="M77" s="402"/>
      <c r="N77" s="531"/>
      <c r="O77" s="531"/>
      <c r="P77" s="531"/>
      <c r="Q77" s="531"/>
      <c r="R77" s="531"/>
      <c r="S77" s="531"/>
      <c r="T77" s="531"/>
      <c r="U77" s="531"/>
      <c r="V77" s="531"/>
      <c r="W77" s="531"/>
      <c r="X77" s="531"/>
      <c r="Y77" s="531"/>
      <c r="Z77" s="531"/>
      <c r="AA77" s="531"/>
    </row>
    <row r="78" spans="1:27" s="1" customFormat="1" ht="14.15" customHeight="1">
      <c r="A78" s="402"/>
      <c r="B78" s="17" t="s">
        <v>292</v>
      </c>
      <c r="C78" s="220">
        <f>Eingabe!D42</f>
        <v>27.194109375</v>
      </c>
      <c r="D78" s="271">
        <f>Eingabe!F42</f>
        <v>27.194109375</v>
      </c>
      <c r="E78" s="221"/>
      <c r="F78" s="221"/>
      <c r="G78" s="222">
        <f>Eingabe!H42</f>
        <v>27.194109375</v>
      </c>
      <c r="H78" s="222">
        <f>Eingabe!J42</f>
        <v>27.194109375</v>
      </c>
      <c r="I78" s="18"/>
      <c r="J78" s="17"/>
      <c r="K78" s="17"/>
      <c r="L78" s="402"/>
      <c r="M78" s="402"/>
      <c r="N78" s="531"/>
      <c r="O78" s="531"/>
      <c r="P78" s="531"/>
      <c r="Q78" s="531"/>
      <c r="R78" s="531"/>
      <c r="S78" s="531"/>
      <c r="T78" s="531"/>
      <c r="U78" s="531"/>
      <c r="V78" s="531"/>
      <c r="W78" s="531"/>
      <c r="X78" s="531"/>
      <c r="Y78" s="531"/>
      <c r="Z78" s="531"/>
      <c r="AA78" s="531"/>
    </row>
    <row r="79" spans="1:27" s="1" customFormat="1" ht="14.15" customHeight="1">
      <c r="A79" s="402"/>
      <c r="B79" s="17" t="s">
        <v>293</v>
      </c>
      <c r="C79" s="220">
        <f>Eingabe!D43</f>
        <v>54.38821875</v>
      </c>
      <c r="D79" s="220">
        <f>Eingabe!F43</f>
        <v>27.194109375</v>
      </c>
      <c r="E79" s="221"/>
      <c r="F79" s="221"/>
      <c r="G79" s="222">
        <f>Eingabe!H43</f>
        <v>27.194109375</v>
      </c>
      <c r="H79" s="222">
        <f>Eingabe!J43</f>
        <v>54.38821875</v>
      </c>
      <c r="I79" s="18"/>
      <c r="J79" s="17"/>
      <c r="K79" s="17"/>
      <c r="L79" s="402"/>
      <c r="M79" s="402"/>
      <c r="N79" s="531"/>
      <c r="O79" s="531"/>
      <c r="P79" s="531"/>
      <c r="Q79" s="531"/>
      <c r="R79" s="531"/>
      <c r="S79" s="531"/>
      <c r="T79" s="531"/>
      <c r="U79" s="531"/>
      <c r="V79" s="531"/>
      <c r="W79" s="531"/>
      <c r="X79" s="531"/>
      <c r="Y79" s="531"/>
      <c r="Z79" s="531"/>
      <c r="AA79" s="531"/>
    </row>
    <row r="80" spans="1:27" s="1" customFormat="1" ht="5.9" customHeight="1">
      <c r="A80" s="402"/>
      <c r="B80" s="17"/>
      <c r="C80" s="164"/>
      <c r="D80" s="164"/>
      <c r="E80" s="402"/>
      <c r="F80" s="402"/>
      <c r="G80" s="219"/>
      <c r="H80" s="219"/>
      <c r="I80" s="18"/>
      <c r="J80" s="17"/>
      <c r="K80" s="17"/>
      <c r="L80" s="402"/>
      <c r="M80" s="402"/>
      <c r="N80" s="531"/>
      <c r="O80" s="531"/>
      <c r="P80" s="531"/>
      <c r="Q80" s="531"/>
      <c r="R80" s="531"/>
      <c r="S80" s="531"/>
      <c r="T80" s="531"/>
      <c r="U80" s="531"/>
      <c r="V80" s="531"/>
      <c r="W80" s="531"/>
      <c r="X80" s="531"/>
      <c r="Y80" s="531"/>
      <c r="Z80" s="531"/>
      <c r="AA80" s="531"/>
    </row>
    <row r="81" spans="1:27" s="1" customFormat="1" ht="14.15" customHeight="1">
      <c r="A81" s="402"/>
      <c r="B81" s="402"/>
      <c r="C81" s="1038" t="s">
        <v>516</v>
      </c>
      <c r="D81" s="1038"/>
      <c r="E81" s="1038"/>
      <c r="F81" s="1038"/>
      <c r="G81" s="1038"/>
      <c r="H81" s="1038"/>
      <c r="I81" s="18"/>
      <c r="J81" s="17"/>
      <c r="K81" s="17"/>
      <c r="L81" s="402"/>
      <c r="M81" s="402"/>
      <c r="N81" s="531"/>
      <c r="O81" s="531"/>
      <c r="P81" s="531"/>
      <c r="Q81" s="531"/>
      <c r="R81" s="531"/>
      <c r="S81" s="531"/>
      <c r="T81" s="531"/>
      <c r="U81" s="531"/>
      <c r="V81" s="531"/>
      <c r="W81" s="531"/>
      <c r="X81" s="531"/>
      <c r="Y81" s="531"/>
      <c r="Z81" s="531"/>
      <c r="AA81" s="531"/>
    </row>
    <row r="82" spans="1:27" s="1" customFormat="1" ht="14.15" customHeight="1">
      <c r="A82" s="402"/>
      <c r="B82" s="402"/>
      <c r="C82" s="519" t="s">
        <v>30</v>
      </c>
      <c r="D82" s="519" t="s">
        <v>117</v>
      </c>
      <c r="E82" s="27"/>
      <c r="F82" s="27"/>
      <c r="G82" s="519" t="s">
        <v>30</v>
      </c>
      <c r="H82" s="519" t="s">
        <v>117</v>
      </c>
      <c r="I82" s="18"/>
      <c r="J82" s="17"/>
      <c r="K82" s="17"/>
      <c r="L82" s="402"/>
      <c r="M82" s="402"/>
      <c r="N82" s="531"/>
      <c r="O82" s="531"/>
      <c r="P82" s="531"/>
      <c r="Q82" s="531"/>
      <c r="R82" s="531"/>
      <c r="S82" s="531"/>
      <c r="T82" s="531"/>
      <c r="U82" s="531"/>
      <c r="V82" s="531"/>
      <c r="W82" s="531"/>
      <c r="X82" s="531"/>
      <c r="Y82" s="531"/>
      <c r="Z82" s="531"/>
      <c r="AA82" s="531"/>
    </row>
    <row r="83" spans="1:27" s="1" customFormat="1" ht="14.15" customHeight="1">
      <c r="A83" s="402"/>
      <c r="B83" s="531"/>
      <c r="C83" s="1032" t="s">
        <v>294</v>
      </c>
      <c r="D83" s="1032"/>
      <c r="E83" s="520"/>
      <c r="F83" s="402"/>
      <c r="G83" s="1032" t="s">
        <v>295</v>
      </c>
      <c r="H83" s="1032"/>
      <c r="I83" s="18"/>
      <c r="J83" s="17"/>
      <c r="K83" s="17"/>
      <c r="L83" s="402"/>
      <c r="M83" s="402"/>
      <c r="N83" s="531"/>
      <c r="O83" s="531"/>
      <c r="P83" s="531"/>
      <c r="Q83" s="531"/>
      <c r="R83" s="531"/>
      <c r="S83" s="531"/>
      <c r="T83" s="531"/>
      <c r="U83" s="531"/>
      <c r="V83" s="531"/>
      <c r="W83" s="531"/>
      <c r="X83" s="531"/>
      <c r="Y83" s="531"/>
      <c r="Z83" s="531"/>
      <c r="AA83" s="531"/>
    </row>
    <row r="84" spans="1:27" s="1" customFormat="1" ht="14.15" customHeight="1">
      <c r="A84" s="402"/>
      <c r="B84" s="402" t="s">
        <v>74</v>
      </c>
      <c r="C84" s="220">
        <f>Eingabe!D53</f>
        <v>4.7057430951337125</v>
      </c>
      <c r="D84" s="220">
        <f>Eingabe!F53</f>
        <v>4.7057430951337125</v>
      </c>
      <c r="E84" s="221"/>
      <c r="F84" s="221"/>
      <c r="G84" s="222">
        <f>Eingabe!H53</f>
        <v>3.6775975449364311</v>
      </c>
      <c r="H84" s="222">
        <f>Eingabe!J53</f>
        <v>3.6775975449364311</v>
      </c>
      <c r="I84" s="18"/>
      <c r="J84" s="17"/>
      <c r="K84" s="519"/>
      <c r="L84" s="402"/>
      <c r="M84" s="402"/>
      <c r="N84" s="531"/>
      <c r="O84" s="531"/>
      <c r="P84" s="531"/>
      <c r="Q84" s="531"/>
      <c r="R84" s="531"/>
      <c r="S84" s="531"/>
      <c r="T84" s="531"/>
      <c r="U84" s="531"/>
      <c r="V84" s="531"/>
      <c r="W84" s="531"/>
      <c r="X84" s="531"/>
      <c r="Y84" s="531"/>
      <c r="Z84" s="531"/>
      <c r="AA84" s="531"/>
    </row>
    <row r="85" spans="1:27" s="1" customFormat="1" ht="14.15" customHeight="1">
      <c r="A85" s="402"/>
      <c r="B85" s="528" t="s">
        <v>281</v>
      </c>
      <c r="C85" s="220">
        <f>Eingabe!D54</f>
        <v>29.921271248249965</v>
      </c>
      <c r="D85" s="271">
        <f>Eingabe!F54</f>
        <v>29.921271248249965</v>
      </c>
      <c r="E85" s="221"/>
      <c r="F85" s="221"/>
      <c r="G85" s="222">
        <f>Eingabe!H54</f>
        <v>29.921271248249965</v>
      </c>
      <c r="H85" s="222">
        <f>Eingabe!J54</f>
        <v>29.921271248249965</v>
      </c>
      <c r="I85" s="18"/>
      <c r="J85" s="17"/>
      <c r="K85" s="347"/>
      <c r="L85" s="402"/>
      <c r="M85" s="402"/>
      <c r="N85" s="531"/>
      <c r="O85" s="531"/>
      <c r="P85" s="531"/>
      <c r="Q85" s="531"/>
      <c r="R85" s="531"/>
      <c r="S85" s="531"/>
      <c r="T85" s="531"/>
      <c r="U85" s="531"/>
      <c r="V85" s="531"/>
      <c r="W85" s="531"/>
      <c r="X85" s="531"/>
      <c r="Y85" s="531"/>
      <c r="Z85" s="531"/>
      <c r="AA85" s="531"/>
    </row>
    <row r="86" spans="1:27" s="1" customFormat="1" ht="14.15" customHeight="1">
      <c r="A86" s="402"/>
      <c r="B86" s="528" t="s">
        <v>282</v>
      </c>
      <c r="C86" s="220">
        <f>Eingabe!D55</f>
        <v>59.842542496499931</v>
      </c>
      <c r="D86" s="220">
        <f>Eingabe!F55</f>
        <v>29.921271248249965</v>
      </c>
      <c r="E86" s="221"/>
      <c r="F86" s="221"/>
      <c r="G86" s="222">
        <f>Eingabe!H55</f>
        <v>29.921271248249965</v>
      </c>
      <c r="H86" s="222">
        <f>Eingabe!J55</f>
        <v>59.842542496499931</v>
      </c>
      <c r="I86" s="18"/>
      <c r="J86" s="17"/>
      <c r="K86" s="520"/>
      <c r="L86" s="402"/>
      <c r="M86" s="402"/>
      <c r="N86" s="531"/>
      <c r="O86" s="531"/>
      <c r="P86" s="531"/>
      <c r="Q86" s="531"/>
      <c r="R86" s="531"/>
      <c r="S86" s="531"/>
      <c r="T86" s="531"/>
      <c r="U86" s="531"/>
      <c r="V86" s="531"/>
      <c r="W86" s="531"/>
      <c r="X86" s="531"/>
      <c r="Y86" s="531"/>
      <c r="Z86" s="531"/>
      <c r="AA86" s="531"/>
    </row>
    <row r="87" spans="1:27" s="1" customFormat="1" ht="5.9" customHeight="1">
      <c r="A87" s="402"/>
      <c r="B87" s="346"/>
      <c r="C87" s="346"/>
      <c r="D87" s="346"/>
      <c r="E87" s="346"/>
      <c r="F87" s="346"/>
      <c r="G87" s="346"/>
      <c r="H87" s="346"/>
      <c r="I87" s="346"/>
      <c r="J87" s="346"/>
      <c r="K87" s="520"/>
      <c r="L87" s="402"/>
      <c r="M87" s="402"/>
      <c r="N87" s="531"/>
      <c r="O87" s="531"/>
      <c r="P87" s="531"/>
      <c r="Q87" s="531"/>
      <c r="R87" s="531"/>
      <c r="S87" s="531"/>
      <c r="T87" s="531"/>
      <c r="U87" s="531"/>
      <c r="V87" s="531"/>
      <c r="W87" s="531"/>
      <c r="X87" s="531"/>
      <c r="Y87" s="531"/>
      <c r="Z87" s="531"/>
      <c r="AA87" s="531"/>
    </row>
    <row r="88" spans="1:27" s="1" customFormat="1" ht="15.55">
      <c r="A88" s="1035" t="s">
        <v>555</v>
      </c>
      <c r="B88" s="1035"/>
      <c r="C88" s="1035"/>
      <c r="D88" s="1035"/>
      <c r="E88" s="1035"/>
      <c r="F88" s="1035"/>
      <c r="G88" s="1035"/>
      <c r="H88" s="1035"/>
      <c r="I88" s="1035"/>
      <c r="J88" s="1035"/>
      <c r="K88" s="500"/>
      <c r="L88" s="402"/>
      <c r="M88" s="402"/>
      <c r="N88" s="531"/>
      <c r="O88" s="531"/>
      <c r="P88" s="531"/>
      <c r="Q88" s="531"/>
      <c r="R88" s="531"/>
      <c r="S88" s="531"/>
      <c r="T88" s="531"/>
      <c r="U88" s="531"/>
      <c r="V88" s="531"/>
      <c r="W88" s="531"/>
      <c r="X88" s="531"/>
      <c r="Y88" s="531"/>
      <c r="Z88" s="531"/>
      <c r="AA88" s="531"/>
    </row>
    <row r="89" spans="1:27" s="1" customFormat="1" ht="5.9" customHeight="1">
      <c r="A89" s="402"/>
      <c r="B89" s="402"/>
      <c r="C89" s="402"/>
      <c r="D89" s="9"/>
      <c r="E89" s="402"/>
      <c r="F89" s="402"/>
      <c r="G89" s="12"/>
      <c r="H89" s="12"/>
      <c r="I89" s="13"/>
      <c r="J89" s="12"/>
      <c r="K89" s="402"/>
      <c r="L89" s="402"/>
      <c r="M89" s="402"/>
      <c r="N89" s="531"/>
      <c r="O89" s="531"/>
      <c r="P89" s="531"/>
      <c r="Q89" s="531"/>
      <c r="R89" s="531"/>
      <c r="S89" s="531"/>
      <c r="T89" s="531"/>
      <c r="U89" s="531"/>
      <c r="V89" s="531"/>
      <c r="W89" s="531"/>
      <c r="X89" s="531"/>
      <c r="Y89" s="531"/>
      <c r="Z89" s="531"/>
      <c r="AA89" s="531"/>
    </row>
    <row r="90" spans="1:27" s="1" customFormat="1" ht="13" customHeight="1">
      <c r="A90" s="402"/>
      <c r="B90" s="211"/>
      <c r="C90" s="1038" t="s">
        <v>273</v>
      </c>
      <c r="D90" s="1038"/>
      <c r="E90" s="1038"/>
      <c r="F90" s="1038"/>
      <c r="G90" s="1038"/>
      <c r="H90" s="1038"/>
      <c r="I90" s="211"/>
      <c r="J90" s="211"/>
      <c r="K90" s="211"/>
      <c r="L90" s="402"/>
      <c r="M90" s="402"/>
      <c r="N90" s="531"/>
      <c r="O90" s="531"/>
      <c r="P90" s="531"/>
      <c r="Q90" s="531"/>
      <c r="R90" s="531"/>
      <c r="S90" s="531"/>
      <c r="T90" s="531"/>
      <c r="U90" s="531"/>
      <c r="V90" s="531"/>
      <c r="W90" s="531"/>
      <c r="X90" s="531"/>
      <c r="Y90" s="531"/>
      <c r="Z90" s="531"/>
      <c r="AA90" s="531"/>
    </row>
    <row r="91" spans="1:27" s="1" customFormat="1" ht="13" customHeight="1">
      <c r="A91" s="402"/>
      <c r="B91" s="402"/>
      <c r="C91" s="519" t="s">
        <v>30</v>
      </c>
      <c r="D91" s="519" t="s">
        <v>117</v>
      </c>
      <c r="E91" s="27"/>
      <c r="F91" s="27"/>
      <c r="G91" s="519" t="s">
        <v>30</v>
      </c>
      <c r="H91" s="519" t="s">
        <v>117</v>
      </c>
      <c r="I91" s="17"/>
      <c r="J91" s="17"/>
      <c r="K91" s="17"/>
      <c r="L91" s="402"/>
      <c r="M91" s="402"/>
      <c r="N91" s="531"/>
      <c r="O91" s="531"/>
      <c r="P91" s="531"/>
      <c r="Q91" s="531"/>
      <c r="R91" s="531"/>
      <c r="S91" s="531"/>
      <c r="T91" s="531"/>
      <c r="U91" s="531"/>
      <c r="V91" s="531"/>
      <c r="W91" s="531"/>
      <c r="X91" s="531"/>
      <c r="Y91" s="531"/>
      <c r="Z91" s="531"/>
      <c r="AA91" s="531"/>
    </row>
    <row r="92" spans="1:27" s="1" customFormat="1" ht="13" customHeight="1">
      <c r="A92" s="402"/>
      <c r="B92" s="531"/>
      <c r="C92" s="1032" t="s">
        <v>290</v>
      </c>
      <c r="D92" s="1032"/>
      <c r="E92" s="520"/>
      <c r="F92" s="402"/>
      <c r="G92" s="1032" t="s">
        <v>291</v>
      </c>
      <c r="H92" s="1032"/>
      <c r="I92" s="27"/>
      <c r="J92" s="17"/>
      <c r="K92" s="17"/>
      <c r="L92" s="402"/>
      <c r="M92" s="402"/>
      <c r="N92" s="531"/>
      <c r="O92" s="531"/>
      <c r="P92" s="531"/>
      <c r="Q92" s="531"/>
      <c r="R92" s="531"/>
      <c r="S92" s="531"/>
      <c r="T92" s="531"/>
      <c r="U92" s="531"/>
      <c r="V92" s="531"/>
      <c r="W92" s="531"/>
      <c r="X92" s="531"/>
      <c r="Y92" s="531"/>
      <c r="Z92" s="531"/>
      <c r="AA92" s="531"/>
    </row>
    <row r="93" spans="1:27" s="456" customFormat="1" ht="13" customHeight="1">
      <c r="A93" s="402"/>
      <c r="B93" s="528" t="s">
        <v>64</v>
      </c>
      <c r="C93" s="459">
        <f>D123</f>
        <v>132.08556149732618</v>
      </c>
      <c r="D93" s="459">
        <f>D198</f>
        <v>132.08556149732618</v>
      </c>
      <c r="E93" s="520"/>
      <c r="F93" s="402"/>
      <c r="G93" s="459">
        <f>D256</f>
        <v>132.08556149732618</v>
      </c>
      <c r="H93" s="459">
        <f>D331</f>
        <v>132.08556149732618</v>
      </c>
      <c r="I93" s="27"/>
      <c r="J93" s="17"/>
      <c r="K93" s="17"/>
      <c r="L93" s="402"/>
      <c r="M93" s="402"/>
      <c r="N93" s="531"/>
      <c r="O93" s="531"/>
      <c r="P93" s="531"/>
      <c r="Q93" s="531"/>
      <c r="R93" s="531"/>
      <c r="S93" s="531"/>
      <c r="T93" s="531"/>
      <c r="U93" s="531"/>
      <c r="V93" s="531"/>
      <c r="W93" s="531"/>
      <c r="X93" s="531"/>
      <c r="Y93" s="531"/>
      <c r="Z93" s="531"/>
      <c r="AA93" s="531"/>
    </row>
    <row r="94" spans="1:27" s="1" customFormat="1" ht="13" customHeight="1">
      <c r="A94" s="402"/>
      <c r="B94" s="528" t="s">
        <v>71</v>
      </c>
      <c r="C94" s="220">
        <f>Eingabe!D45</f>
        <v>53.973326745717607</v>
      </c>
      <c r="D94" s="220">
        <f>Eingabe!F45</f>
        <v>34.202213971405548</v>
      </c>
      <c r="E94" s="221"/>
      <c r="F94" s="221"/>
      <c r="G94" s="222">
        <f>Eingabe!H45</f>
        <v>53.973326745717607</v>
      </c>
      <c r="H94" s="222">
        <f>Eingabe!J45</f>
        <v>34.202213971405548</v>
      </c>
      <c r="I94" s="27"/>
      <c r="J94" s="17"/>
      <c r="K94" s="17"/>
      <c r="L94" s="402"/>
      <c r="M94" s="402"/>
      <c r="N94" s="531"/>
      <c r="O94" s="531"/>
      <c r="P94" s="531"/>
      <c r="Q94" s="531"/>
      <c r="R94" s="531"/>
      <c r="S94" s="531"/>
      <c r="T94" s="531"/>
      <c r="U94" s="531"/>
      <c r="V94" s="531"/>
      <c r="W94" s="531"/>
      <c r="X94" s="531"/>
      <c r="Y94" s="531"/>
      <c r="Z94" s="531"/>
      <c r="AA94" s="531"/>
    </row>
    <row r="95" spans="1:27" s="1" customFormat="1" ht="13" customHeight="1">
      <c r="A95" s="402"/>
      <c r="B95" s="528" t="s">
        <v>123</v>
      </c>
      <c r="C95" s="220">
        <f>Eingabe!D46</f>
        <v>59.246248656498729</v>
      </c>
      <c r="D95" s="271">
        <f>Eingabe!F46</f>
        <v>84.75</v>
      </c>
      <c r="E95" s="221"/>
      <c r="F95" s="221"/>
      <c r="G95" s="222">
        <f>Eingabe!H46</f>
        <v>59.246248656498729</v>
      </c>
      <c r="H95" s="222">
        <f>Eingabe!J46</f>
        <v>84.75</v>
      </c>
      <c r="I95" s="27"/>
      <c r="J95" s="17"/>
      <c r="K95" s="17"/>
      <c r="L95" s="402"/>
      <c r="M95" s="402"/>
      <c r="N95" s="531"/>
      <c r="O95" s="531"/>
      <c r="P95" s="531"/>
      <c r="Q95" s="531"/>
      <c r="R95" s="531"/>
      <c r="S95" s="531"/>
      <c r="T95" s="531"/>
      <c r="U95" s="531"/>
      <c r="V95" s="531"/>
      <c r="W95" s="531"/>
      <c r="X95" s="531"/>
      <c r="Y95" s="531"/>
      <c r="Z95" s="531"/>
      <c r="AA95" s="531"/>
    </row>
    <row r="96" spans="1:27" s="1" customFormat="1" ht="13" customHeight="1">
      <c r="A96" s="402"/>
      <c r="B96" s="528" t="s">
        <v>65</v>
      </c>
      <c r="C96" s="220">
        <f>Eingabe!D47</f>
        <v>30.470483311968351</v>
      </c>
      <c r="D96" s="220">
        <f>Eingabe!F47</f>
        <v>30.470483311968351</v>
      </c>
      <c r="E96" s="221"/>
      <c r="F96" s="221"/>
      <c r="G96" s="222">
        <f>Eingabe!H47</f>
        <v>30.470483311968351</v>
      </c>
      <c r="H96" s="222">
        <f>Eingabe!J47</f>
        <v>30.693318890866021</v>
      </c>
      <c r="I96" s="17"/>
      <c r="J96" s="17"/>
      <c r="K96" s="17"/>
      <c r="L96" s="402"/>
      <c r="M96" s="402"/>
      <c r="N96" s="531"/>
      <c r="O96" s="531"/>
      <c r="P96" s="531"/>
      <c r="Q96" s="531"/>
      <c r="R96" s="531"/>
      <c r="S96" s="531"/>
      <c r="T96" s="531"/>
      <c r="U96" s="531"/>
      <c r="V96" s="531"/>
      <c r="W96" s="531"/>
      <c r="X96" s="531"/>
      <c r="Y96" s="531"/>
      <c r="Z96" s="531"/>
      <c r="AA96" s="531"/>
    </row>
    <row r="97" spans="1:27" s="456" customFormat="1" ht="13" customHeight="1">
      <c r="A97" s="402"/>
      <c r="B97" s="528" t="s">
        <v>494</v>
      </c>
      <c r="C97" s="460">
        <f>Eingabe!D48</f>
        <v>134.93331686429403</v>
      </c>
      <c r="D97" s="461" t="s">
        <v>434</v>
      </c>
      <c r="E97" s="221"/>
      <c r="F97" s="221"/>
      <c r="G97" s="461">
        <f>Eingabe!H48</f>
        <v>134.93331686429403</v>
      </c>
      <c r="H97" s="461" t="s">
        <v>434</v>
      </c>
      <c r="I97" s="4"/>
      <c r="J97" s="17"/>
      <c r="K97" s="17"/>
      <c r="L97" s="402"/>
      <c r="M97" s="402"/>
      <c r="N97" s="531"/>
      <c r="O97" s="531"/>
      <c r="P97" s="531"/>
      <c r="Q97" s="531"/>
      <c r="R97" s="531"/>
      <c r="S97" s="531"/>
      <c r="T97" s="531"/>
      <c r="U97" s="531"/>
      <c r="V97" s="531"/>
      <c r="W97" s="531"/>
      <c r="X97" s="531"/>
      <c r="Y97" s="531"/>
      <c r="Z97" s="531"/>
      <c r="AA97" s="531"/>
    </row>
    <row r="98" spans="1:27" s="1" customFormat="1" ht="13" customHeight="1">
      <c r="A98" s="402"/>
      <c r="B98" s="223" t="s">
        <v>296</v>
      </c>
      <c r="C98" s="524">
        <f>Eingabe!D49</f>
        <v>80.977854917309827</v>
      </c>
      <c r="D98" s="524">
        <f>Eingabe!F49</f>
        <v>84.795996148612602</v>
      </c>
      <c r="E98" s="27"/>
      <c r="F98" s="27"/>
      <c r="G98" s="524">
        <f>Eingabe!H49</f>
        <v>79.53473812045489</v>
      </c>
      <c r="H98" s="524">
        <f>Eingabe!J49</f>
        <v>81.978711895705104</v>
      </c>
      <c r="I98" s="17"/>
      <c r="J98" s="17"/>
      <c r="K98" s="17"/>
      <c r="L98" s="402"/>
      <c r="M98" s="402"/>
      <c r="N98" s="531"/>
      <c r="O98" s="531"/>
      <c r="P98" s="531"/>
      <c r="Q98" s="531"/>
      <c r="R98" s="531"/>
      <c r="S98" s="531"/>
      <c r="T98" s="531"/>
      <c r="U98" s="531"/>
      <c r="V98" s="531"/>
      <c r="W98" s="531"/>
      <c r="X98" s="531"/>
      <c r="Y98" s="531"/>
      <c r="Z98" s="531"/>
      <c r="AA98" s="531"/>
    </row>
    <row r="99" spans="1:27" s="1" customFormat="1" ht="13" customHeight="1">
      <c r="A99" s="402"/>
      <c r="B99" s="223"/>
      <c r="C99" s="1039" t="str">
        <f>Eingabe!F29</f>
        <v>Verankerung Mittelbereich zulässig</v>
      </c>
      <c r="D99" s="1039"/>
      <c r="E99" s="1039"/>
      <c r="F99" s="1039"/>
      <c r="G99" s="1039"/>
      <c r="H99" s="1039"/>
      <c r="I99" s="17"/>
      <c r="J99" s="17"/>
      <c r="K99" s="17"/>
      <c r="L99" s="402"/>
      <c r="M99" s="402"/>
      <c r="N99" s="531"/>
      <c r="O99" s="531"/>
      <c r="P99" s="531"/>
      <c r="Q99" s="531"/>
      <c r="R99" s="531"/>
      <c r="S99" s="531"/>
      <c r="T99" s="531"/>
      <c r="U99" s="531"/>
      <c r="V99" s="531"/>
      <c r="W99" s="531"/>
      <c r="X99" s="531"/>
      <c r="Y99" s="531"/>
      <c r="Z99" s="531"/>
      <c r="AA99" s="531"/>
    </row>
    <row r="100" spans="1:27" s="1" customFormat="1" ht="5.5" customHeight="1">
      <c r="A100" s="402"/>
      <c r="B100" s="17"/>
      <c r="C100" s="164"/>
      <c r="D100" s="164"/>
      <c r="E100" s="402"/>
      <c r="F100" s="402"/>
      <c r="G100" s="219"/>
      <c r="H100" s="219"/>
      <c r="I100" s="211"/>
      <c r="J100" s="211"/>
      <c r="K100" s="211"/>
      <c r="L100" s="402"/>
      <c r="M100" s="402"/>
      <c r="N100" s="531"/>
      <c r="O100" s="531"/>
      <c r="P100" s="531"/>
      <c r="Q100" s="531"/>
      <c r="R100" s="531"/>
      <c r="S100" s="531"/>
      <c r="T100" s="531"/>
      <c r="U100" s="531"/>
      <c r="V100" s="531"/>
      <c r="W100" s="531"/>
      <c r="X100" s="531"/>
      <c r="Y100" s="531"/>
      <c r="Z100" s="531"/>
      <c r="AA100" s="531"/>
    </row>
    <row r="101" spans="1:27" s="1" customFormat="1" ht="13" customHeight="1">
      <c r="A101" s="402"/>
      <c r="B101" s="402"/>
      <c r="C101" s="1038" t="s">
        <v>516</v>
      </c>
      <c r="D101" s="1038"/>
      <c r="E101" s="1038"/>
      <c r="F101" s="1038"/>
      <c r="G101" s="1038"/>
      <c r="H101" s="1038"/>
      <c r="I101" s="17"/>
      <c r="J101" s="17"/>
      <c r="K101" s="17"/>
      <c r="L101" s="402"/>
      <c r="M101" s="402"/>
      <c r="N101" s="531"/>
      <c r="O101" s="531"/>
      <c r="P101" s="531"/>
      <c r="Q101" s="531"/>
      <c r="R101" s="531"/>
      <c r="S101" s="531"/>
      <c r="T101" s="531"/>
      <c r="U101" s="531"/>
      <c r="V101" s="531"/>
      <c r="W101" s="531"/>
      <c r="X101" s="531"/>
      <c r="Y101" s="531"/>
      <c r="Z101" s="531"/>
      <c r="AA101" s="531"/>
    </row>
    <row r="102" spans="1:27" s="1" customFormat="1" ht="13" customHeight="1">
      <c r="A102" s="402"/>
      <c r="B102" s="402"/>
      <c r="C102" s="519" t="s">
        <v>30</v>
      </c>
      <c r="D102" s="519" t="s">
        <v>117</v>
      </c>
      <c r="E102" s="27"/>
      <c r="F102" s="27"/>
      <c r="G102" s="519" t="s">
        <v>30</v>
      </c>
      <c r="H102" s="519" t="s">
        <v>117</v>
      </c>
      <c r="I102" s="165"/>
      <c r="J102" s="165"/>
      <c r="K102" s="17"/>
      <c r="L102" s="402"/>
      <c r="M102" s="402"/>
      <c r="N102" s="531"/>
      <c r="O102" s="531"/>
      <c r="P102" s="531"/>
      <c r="Q102" s="531"/>
      <c r="R102" s="531"/>
      <c r="S102" s="531"/>
      <c r="T102" s="531"/>
      <c r="U102" s="531"/>
      <c r="V102" s="531"/>
      <c r="W102" s="531"/>
      <c r="X102" s="531"/>
      <c r="Y102" s="531"/>
      <c r="Z102" s="531"/>
      <c r="AA102" s="531"/>
    </row>
    <row r="103" spans="1:27" s="1" customFormat="1" ht="13" customHeight="1">
      <c r="A103" s="402"/>
      <c r="B103" s="531"/>
      <c r="C103" s="1032" t="s">
        <v>290</v>
      </c>
      <c r="D103" s="1032"/>
      <c r="E103" s="520"/>
      <c r="F103" s="402"/>
      <c r="G103" s="1032" t="s">
        <v>291</v>
      </c>
      <c r="H103" s="1032"/>
      <c r="I103" s="165"/>
      <c r="J103" s="165"/>
      <c r="K103" s="17"/>
      <c r="L103" s="402"/>
      <c r="M103" s="402"/>
      <c r="N103" s="531"/>
      <c r="O103" s="531"/>
      <c r="P103" s="531"/>
      <c r="Q103" s="531"/>
      <c r="R103" s="531"/>
      <c r="S103" s="531"/>
      <c r="T103" s="531"/>
      <c r="U103" s="531"/>
      <c r="V103" s="531"/>
      <c r="W103" s="531"/>
      <c r="X103" s="531"/>
      <c r="Y103" s="531"/>
      <c r="Z103" s="531"/>
      <c r="AA103" s="531"/>
    </row>
    <row r="104" spans="1:27" s="456" customFormat="1" ht="13" customHeight="1">
      <c r="A104" s="402"/>
      <c r="B104" s="528" t="s">
        <v>64</v>
      </c>
      <c r="C104" s="459">
        <f>D389</f>
        <v>132.08556149732618</v>
      </c>
      <c r="D104" s="459">
        <f>D464</f>
        <v>132.08556149732618</v>
      </c>
      <c r="E104" s="520"/>
      <c r="F104" s="402"/>
      <c r="G104" s="459">
        <f>D522</f>
        <v>132.08556149732618</v>
      </c>
      <c r="H104" s="459">
        <f>D522</f>
        <v>132.08556149732618</v>
      </c>
      <c r="I104" s="165"/>
      <c r="J104" s="165"/>
      <c r="K104" s="17"/>
      <c r="L104" s="402"/>
      <c r="M104" s="402"/>
      <c r="N104" s="531"/>
      <c r="O104" s="531"/>
      <c r="P104" s="531"/>
      <c r="Q104" s="531"/>
      <c r="R104" s="531"/>
      <c r="S104" s="531"/>
      <c r="T104" s="531"/>
      <c r="U104" s="531"/>
      <c r="V104" s="531"/>
      <c r="W104" s="531"/>
      <c r="X104" s="531"/>
      <c r="Y104" s="531"/>
      <c r="Z104" s="531"/>
      <c r="AA104" s="531"/>
    </row>
    <row r="105" spans="1:27" s="1" customFormat="1" ht="13" customHeight="1">
      <c r="A105" s="402"/>
      <c r="B105" s="528" t="s">
        <v>71</v>
      </c>
      <c r="C105" s="220">
        <f>Eingabe!D57</f>
        <v>53.973326745717607</v>
      </c>
      <c r="D105" s="220">
        <f>Eingabe!F57</f>
        <v>34.202213971405548</v>
      </c>
      <c r="E105" s="221"/>
      <c r="F105" s="221"/>
      <c r="G105" s="222">
        <f>Eingabe!H57</f>
        <v>53.973326745717607</v>
      </c>
      <c r="H105" s="222">
        <f>Eingabe!J57</f>
        <v>34.202213971405548</v>
      </c>
      <c r="I105" s="165"/>
      <c r="J105" s="165"/>
      <c r="K105" s="17"/>
      <c r="L105" s="402"/>
      <c r="M105" s="402"/>
      <c r="N105" s="402"/>
      <c r="O105" s="402"/>
      <c r="P105" s="402"/>
      <c r="Q105" s="402"/>
      <c r="R105" s="531"/>
      <c r="S105" s="531"/>
      <c r="T105" s="531"/>
      <c r="U105" s="531"/>
      <c r="V105" s="531"/>
      <c r="W105" s="531"/>
      <c r="X105" s="531"/>
      <c r="Y105" s="531"/>
      <c r="Z105" s="531"/>
      <c r="AA105" s="531"/>
    </row>
    <row r="106" spans="1:27" s="1" customFormat="1" ht="13" customHeight="1">
      <c r="A106" s="402"/>
      <c r="B106" s="528" t="s">
        <v>123</v>
      </c>
      <c r="C106" s="220">
        <f>Eingabe!D58</f>
        <v>59.246248656498729</v>
      </c>
      <c r="D106" s="271">
        <f>Eingabe!F58</f>
        <v>84.75</v>
      </c>
      <c r="E106" s="221"/>
      <c r="F106" s="221"/>
      <c r="G106" s="222">
        <f>Eingabe!H58</f>
        <v>59.246248656498729</v>
      </c>
      <c r="H106" s="222">
        <f>Eingabe!J58</f>
        <v>84.75</v>
      </c>
      <c r="I106" s="165"/>
      <c r="J106" s="165"/>
      <c r="K106" s="17"/>
      <c r="L106" s="402"/>
      <c r="M106" s="402"/>
      <c r="N106" s="402"/>
      <c r="O106" s="272"/>
      <c r="P106" s="10"/>
      <c r="Q106" s="402"/>
      <c r="R106" s="531"/>
      <c r="S106" s="531"/>
      <c r="T106" s="531"/>
      <c r="U106" s="531"/>
      <c r="V106" s="531"/>
      <c r="W106" s="531"/>
      <c r="X106" s="531"/>
      <c r="Y106" s="531"/>
      <c r="Z106" s="531"/>
      <c r="AA106" s="531"/>
    </row>
    <row r="107" spans="1:27" s="1" customFormat="1" ht="13" customHeight="1">
      <c r="A107" s="402"/>
      <c r="B107" s="528" t="s">
        <v>65</v>
      </c>
      <c r="C107" s="220">
        <f>Eingabe!D59</f>
        <v>30.368493181626725</v>
      </c>
      <c r="D107" s="220">
        <f>Eingabe!F59</f>
        <v>30.368493181626725</v>
      </c>
      <c r="E107" s="221"/>
      <c r="F107" s="221"/>
      <c r="G107" s="222">
        <f>Eingabe!H59</f>
        <v>30.613612318414162</v>
      </c>
      <c r="H107" s="222">
        <f>Eingabe!J59</f>
        <v>30.613612318414162</v>
      </c>
      <c r="I107" s="17"/>
      <c r="J107" s="17"/>
      <c r="K107" s="17"/>
      <c r="L107" s="402"/>
      <c r="M107" s="402"/>
      <c r="N107" s="402"/>
      <c r="O107" s="272"/>
      <c r="P107" s="10"/>
      <c r="Q107" s="402"/>
      <c r="R107" s="531"/>
      <c r="S107" s="531"/>
      <c r="T107" s="531"/>
      <c r="U107" s="531"/>
      <c r="V107" s="531"/>
      <c r="W107" s="531"/>
      <c r="X107" s="531"/>
      <c r="Y107" s="531"/>
      <c r="Z107" s="531"/>
      <c r="AA107" s="531"/>
    </row>
    <row r="108" spans="1:27" s="456" customFormat="1" ht="13" customHeight="1">
      <c r="A108" s="402"/>
      <c r="B108" s="528" t="s">
        <v>494</v>
      </c>
      <c r="C108" s="460">
        <f>Eingabe!D60</f>
        <v>134.93331686429403</v>
      </c>
      <c r="D108" s="461" t="s">
        <v>434</v>
      </c>
      <c r="E108" s="462"/>
      <c r="F108" s="462"/>
      <c r="G108" s="461">
        <f>Eingabe!H60</f>
        <v>134.93331686429403</v>
      </c>
      <c r="H108" s="461" t="s">
        <v>434</v>
      </c>
      <c r="I108" s="17"/>
      <c r="J108" s="17"/>
      <c r="K108" s="17"/>
      <c r="L108" s="402"/>
      <c r="M108" s="402"/>
      <c r="N108" s="402"/>
      <c r="O108" s="272"/>
      <c r="P108" s="10"/>
      <c r="Q108" s="402"/>
      <c r="R108" s="531"/>
      <c r="S108" s="531"/>
      <c r="T108" s="531"/>
      <c r="U108" s="531"/>
      <c r="V108" s="531"/>
      <c r="W108" s="531"/>
      <c r="X108" s="531"/>
      <c r="Y108" s="531"/>
      <c r="Z108" s="531"/>
      <c r="AA108" s="531"/>
    </row>
    <row r="109" spans="1:27" s="1" customFormat="1" ht="13" customHeight="1">
      <c r="A109" s="402"/>
      <c r="B109" s="223" t="s">
        <v>296</v>
      </c>
      <c r="C109" s="524">
        <f>Eingabe!D61</f>
        <v>89.371662153152812</v>
      </c>
      <c r="D109" s="524">
        <f>Eingabe!F61</f>
        <v>93.571617507585842</v>
      </c>
      <c r="E109" s="27"/>
      <c r="F109" s="27"/>
      <c r="G109" s="524">
        <f>Eingabe!H61</f>
        <v>87.126820821788982</v>
      </c>
      <c r="H109" s="524">
        <f>Eingabe!J61</f>
        <v>90.409138871892111</v>
      </c>
      <c r="I109" s="17"/>
      <c r="J109" s="17"/>
      <c r="K109" s="17"/>
      <c r="L109" s="402"/>
      <c r="M109" s="402"/>
      <c r="N109" s="402"/>
      <c r="O109" s="272"/>
      <c r="P109" s="10"/>
      <c r="Q109" s="402"/>
      <c r="R109" s="531"/>
      <c r="S109" s="531"/>
      <c r="T109" s="531"/>
      <c r="U109" s="531"/>
      <c r="V109" s="531"/>
      <c r="W109" s="531"/>
      <c r="X109" s="531"/>
      <c r="Y109" s="531"/>
      <c r="Z109" s="531"/>
      <c r="AA109" s="531"/>
    </row>
    <row r="110" spans="1:27" s="1" customFormat="1" ht="13" customHeight="1">
      <c r="A110" s="402"/>
      <c r="B110" s="17"/>
      <c r="C110" s="1034" t="str">
        <f>Eingabe!F33</f>
        <v>Verankerung Randbereich zulässig</v>
      </c>
      <c r="D110" s="1034"/>
      <c r="E110" s="1034"/>
      <c r="F110" s="1034"/>
      <c r="G110" s="1034"/>
      <c r="H110" s="1034"/>
      <c r="I110" s="17"/>
      <c r="J110" s="407"/>
      <c r="K110" s="17"/>
      <c r="L110" s="402"/>
      <c r="M110" s="402"/>
      <c r="N110" s="402"/>
      <c r="O110" s="272"/>
      <c r="P110" s="10"/>
      <c r="Q110" s="402"/>
      <c r="R110" s="531"/>
      <c r="S110" s="531"/>
      <c r="T110" s="531"/>
      <c r="U110" s="531"/>
      <c r="V110" s="531"/>
      <c r="W110" s="531"/>
      <c r="X110" s="531"/>
      <c r="Y110" s="531"/>
      <c r="Z110" s="531"/>
      <c r="AA110" s="531"/>
    </row>
    <row r="111" spans="1:27" s="1" customFormat="1" ht="6.8" customHeight="1">
      <c r="A111" s="402"/>
      <c r="B111" s="17"/>
      <c r="C111" s="519"/>
      <c r="D111" s="519"/>
      <c r="E111" s="519"/>
      <c r="F111" s="519"/>
      <c r="G111" s="519"/>
      <c r="H111" s="519"/>
      <c r="I111" s="17"/>
      <c r="J111" s="17"/>
      <c r="K111" s="17"/>
      <c r="L111" s="402"/>
      <c r="M111" s="402"/>
      <c r="N111" s="402"/>
      <c r="O111" s="272"/>
      <c r="P111" s="9"/>
      <c r="Q111" s="273"/>
      <c r="R111" s="531"/>
      <c r="S111" s="531"/>
      <c r="T111" s="531"/>
      <c r="U111" s="531"/>
      <c r="V111" s="531"/>
      <c r="W111" s="531"/>
      <c r="X111" s="531"/>
      <c r="Y111" s="531"/>
      <c r="Z111" s="531"/>
      <c r="AA111" s="531"/>
    </row>
    <row r="112" spans="1:27" s="1" customFormat="1" ht="13" customHeight="1">
      <c r="A112" s="1036" t="s">
        <v>580</v>
      </c>
      <c r="B112" s="1036"/>
      <c r="C112" s="1036"/>
      <c r="D112" s="1036"/>
      <c r="E112" s="1036"/>
      <c r="F112" s="1036"/>
      <c r="G112" s="1036"/>
      <c r="H112" s="1036"/>
      <c r="I112" s="1036"/>
      <c r="J112" s="1036"/>
      <c r="K112" s="521"/>
      <c r="L112" s="402"/>
      <c r="M112" s="402"/>
      <c r="N112" s="402"/>
      <c r="O112" s="272"/>
      <c r="P112" s="9"/>
      <c r="Q112" s="273"/>
      <c r="R112" s="531"/>
      <c r="S112" s="531"/>
      <c r="T112" s="531"/>
      <c r="U112" s="531"/>
      <c r="V112" s="531"/>
      <c r="W112" s="531"/>
      <c r="X112" s="531"/>
      <c r="Y112" s="531"/>
      <c r="Z112" s="531"/>
      <c r="AA112" s="531"/>
    </row>
    <row r="113" spans="1:27" s="1" customFormat="1" ht="13" customHeight="1">
      <c r="A113" s="1037" t="str">
        <f>"Querkraftübertragung Kappe → Tragwerk (Überbau):  "&amp;(Eingabe!C33)</f>
        <v>Querkraftübertragung Kappe → Tragwerk (Überbau):  Kappenverankerung HCC</v>
      </c>
      <c r="B113" s="1037"/>
      <c r="C113" s="1037"/>
      <c r="D113" s="1037"/>
      <c r="E113" s="1037"/>
      <c r="F113" s="1037"/>
      <c r="G113" s="1037"/>
      <c r="H113" s="1037"/>
      <c r="I113" s="1037"/>
      <c r="J113" s="1037"/>
      <c r="K113" s="522"/>
      <c r="L113" s="402"/>
      <c r="M113" s="402"/>
      <c r="N113" s="402"/>
      <c r="O113" s="272"/>
      <c r="P113" s="9"/>
      <c r="Q113" s="273"/>
      <c r="R113" s="531"/>
      <c r="S113" s="531"/>
      <c r="T113" s="531"/>
      <c r="U113" s="531"/>
      <c r="V113" s="531"/>
      <c r="W113" s="531"/>
      <c r="X113" s="531"/>
      <c r="Y113" s="531"/>
      <c r="Z113" s="531"/>
      <c r="AA113" s="531"/>
    </row>
    <row r="114" spans="1:27" s="1" customFormat="1" ht="5.5" customHeight="1">
      <c r="A114" s="402"/>
      <c r="B114" s="520"/>
      <c r="C114" s="520"/>
      <c r="D114" s="520"/>
      <c r="E114" s="520"/>
      <c r="F114" s="520"/>
      <c r="G114" s="520"/>
      <c r="H114" s="520"/>
      <c r="I114" s="520"/>
      <c r="J114" s="520"/>
      <c r="K114" s="520"/>
      <c r="L114" s="402"/>
      <c r="M114" s="402"/>
      <c r="N114" s="402"/>
      <c r="O114" s="272"/>
      <c r="P114" s="9"/>
      <c r="Q114" s="273"/>
      <c r="R114" s="531"/>
      <c r="S114" s="531"/>
      <c r="T114" s="531"/>
      <c r="U114" s="531"/>
      <c r="V114" s="531"/>
      <c r="W114" s="531"/>
      <c r="X114" s="531"/>
      <c r="Y114" s="531"/>
      <c r="Z114" s="531"/>
      <c r="AA114" s="531"/>
    </row>
    <row r="115" spans="1:27" s="1" customFormat="1" ht="16" customHeight="1">
      <c r="A115" s="1035" t="s">
        <v>540</v>
      </c>
      <c r="B115" s="1035"/>
      <c r="C115" s="1035"/>
      <c r="D115" s="1035"/>
      <c r="E115" s="1035"/>
      <c r="F115" s="1035"/>
      <c r="G115" s="1035"/>
      <c r="H115" s="1035"/>
      <c r="I115" s="1035"/>
      <c r="J115" s="1035"/>
      <c r="K115" s="500"/>
      <c r="L115" s="402"/>
      <c r="M115" s="402"/>
      <c r="N115" s="402"/>
      <c r="O115" s="272"/>
      <c r="P115" s="9"/>
      <c r="Q115" s="273"/>
      <c r="R115" s="531"/>
      <c r="S115" s="531"/>
      <c r="T115" s="531"/>
      <c r="U115" s="531"/>
      <c r="V115" s="531"/>
      <c r="W115" s="531"/>
      <c r="X115" s="531"/>
      <c r="Y115" s="531"/>
      <c r="Z115" s="531"/>
      <c r="AA115" s="531"/>
    </row>
    <row r="116" spans="1:27" s="1" customFormat="1" ht="78.8" customHeight="1">
      <c r="A116" s="402"/>
      <c r="B116" s="1068" t="s">
        <v>1551</v>
      </c>
      <c r="C116" s="1055"/>
      <c r="D116" s="1055"/>
      <c r="E116" s="1055"/>
      <c r="F116" s="1055"/>
      <c r="G116" s="1055"/>
      <c r="H116" s="1055"/>
      <c r="I116" s="1055"/>
      <c r="J116" s="12"/>
      <c r="K116" s="402"/>
      <c r="L116" s="402"/>
      <c r="M116" s="402"/>
      <c r="N116" s="531"/>
      <c r="O116" s="531"/>
      <c r="P116" s="531"/>
      <c r="Q116" s="531"/>
      <c r="R116" s="531"/>
      <c r="S116" s="531"/>
      <c r="T116" s="531"/>
      <c r="U116" s="531"/>
      <c r="V116" s="531"/>
      <c r="W116" s="531"/>
      <c r="X116" s="531"/>
      <c r="Y116" s="531"/>
      <c r="Z116" s="531"/>
      <c r="AA116" s="531"/>
    </row>
    <row r="117" spans="1:27" s="239" customFormat="1" ht="14.15" customHeight="1">
      <c r="A117" s="1033" t="s">
        <v>1156</v>
      </c>
      <c r="B117" s="1033"/>
      <c r="C117" s="1033"/>
      <c r="D117" s="1033"/>
      <c r="E117" s="1033"/>
      <c r="F117" s="1033"/>
      <c r="G117" s="1033"/>
      <c r="H117" s="1033"/>
      <c r="I117" s="1033"/>
      <c r="J117" s="1033"/>
      <c r="K117" s="502"/>
      <c r="L117" s="224"/>
      <c r="M117" s="17"/>
    </row>
    <row r="118" spans="1:27" s="239" customFormat="1" ht="5.9" customHeight="1">
      <c r="A118" s="4"/>
      <c r="B118" s="240"/>
      <c r="C118" s="240"/>
      <c r="D118" s="240"/>
      <c r="E118" s="240"/>
      <c r="F118" s="240"/>
      <c r="G118" s="240"/>
      <c r="H118" s="240"/>
      <c r="I118" s="240"/>
      <c r="J118" s="240"/>
      <c r="K118" s="4"/>
      <c r="L118" s="224"/>
      <c r="M118" s="17"/>
    </row>
    <row r="119" spans="1:27" s="239" customFormat="1" ht="14.15" customHeight="1">
      <c r="A119" s="1032" t="s">
        <v>514</v>
      </c>
      <c r="B119" s="1032"/>
      <c r="C119" s="1032"/>
      <c r="D119" s="1032"/>
      <c r="E119" s="1032"/>
      <c r="F119" s="1032"/>
      <c r="G119" s="1032"/>
      <c r="H119" s="1032"/>
      <c r="I119" s="1032"/>
      <c r="J119" s="1032"/>
      <c r="K119" s="520"/>
      <c r="L119" s="224"/>
      <c r="M119" s="17"/>
    </row>
    <row r="120" spans="1:27" s="239" customFormat="1" ht="14.15" customHeight="1">
      <c r="A120" s="17"/>
      <c r="B120" s="14" t="s">
        <v>1</v>
      </c>
      <c r="C120" s="232"/>
      <c r="D120" s="232"/>
      <c r="E120" s="232"/>
      <c r="F120" s="17"/>
      <c r="G120" s="527"/>
      <c r="H120" s="527"/>
      <c r="I120" s="527"/>
      <c r="J120" s="527"/>
      <c r="K120" s="17"/>
      <c r="L120" s="224"/>
      <c r="M120" s="17"/>
    </row>
    <row r="121" spans="1:27" s="239" customFormat="1" ht="14.15" customHeight="1">
      <c r="A121" s="17"/>
      <c r="B121" s="17"/>
      <c r="C121" s="527" t="s">
        <v>4</v>
      </c>
      <c r="D121" s="21">
        <f>INDEX(Tragwerk!$B$23:$D$23,1,MATCH(Eingabe!$C$4,Tragwerk!$B$14:$D$14))</f>
        <v>247</v>
      </c>
      <c r="E121" s="19" t="s">
        <v>2</v>
      </c>
      <c r="F121" s="17"/>
      <c r="G121" s="527" t="s">
        <v>361</v>
      </c>
      <c r="H121" s="527"/>
      <c r="I121" s="527"/>
      <c r="J121" s="527"/>
      <c r="K121" s="17"/>
      <c r="L121" s="224"/>
      <c r="M121" s="17"/>
    </row>
    <row r="122" spans="1:27" s="239" customFormat="1" ht="14.15" customHeight="1">
      <c r="A122" s="17"/>
      <c r="B122" s="17"/>
      <c r="C122" s="17" t="s">
        <v>3</v>
      </c>
      <c r="D122" s="21">
        <f>Tragwerk!$B$24</f>
        <v>1.87</v>
      </c>
      <c r="E122" s="19" t="s">
        <v>7</v>
      </c>
      <c r="F122" s="17"/>
      <c r="G122" s="527" t="s">
        <v>359</v>
      </c>
      <c r="H122" s="527"/>
      <c r="I122" s="527"/>
      <c r="J122" s="527"/>
      <c r="K122" s="17"/>
      <c r="L122" s="224"/>
      <c r="M122" s="17"/>
    </row>
    <row r="123" spans="1:27" s="239" customFormat="1" ht="14.15" customHeight="1">
      <c r="A123" s="17"/>
      <c r="B123" s="17"/>
      <c r="C123" s="527" t="s">
        <v>64</v>
      </c>
      <c r="D123" s="21">
        <f>INDEX(Tragwerk!B25:D25,1,MATCH(Eingabe!C4,Tragwerk!B14:D14))</f>
        <v>132.08556149732618</v>
      </c>
      <c r="E123" s="19" t="s">
        <v>2</v>
      </c>
      <c r="F123" s="17"/>
      <c r="G123" s="527" t="s">
        <v>73</v>
      </c>
      <c r="H123" s="527"/>
      <c r="I123" s="527"/>
      <c r="J123" s="527"/>
      <c r="K123" s="17"/>
      <c r="L123" s="224"/>
      <c r="M123" s="17"/>
    </row>
    <row r="124" spans="1:27" s="239" customFormat="1" ht="14.15" customHeight="1">
      <c r="A124" s="17"/>
      <c r="B124" s="17"/>
      <c r="C124" s="527" t="s">
        <v>302</v>
      </c>
      <c r="D124" s="21">
        <f>Tragwerk!$B$60</f>
        <v>4.2779482683033754</v>
      </c>
      <c r="E124" s="19" t="s">
        <v>2</v>
      </c>
      <c r="F124" s="17"/>
      <c r="G124" s="527" t="s">
        <v>75</v>
      </c>
      <c r="H124" s="527"/>
      <c r="I124" s="527"/>
      <c r="J124" s="527"/>
      <c r="K124" s="17"/>
      <c r="L124" s="224"/>
      <c r="M124" s="17"/>
    </row>
    <row r="125" spans="1:27" s="239" customFormat="1" ht="14.15" customHeight="1">
      <c r="A125" s="17"/>
      <c r="B125" s="17"/>
      <c r="C125" s="25" t="s">
        <v>88</v>
      </c>
      <c r="D125" s="26">
        <f>D124/D123</f>
        <v>3.2387705513066044E-2</v>
      </c>
      <c r="E125" s="520" t="s">
        <v>7</v>
      </c>
      <c r="F125" s="27"/>
      <c r="G125" s="24" t="s">
        <v>46</v>
      </c>
      <c r="H125" s="527"/>
      <c r="I125" s="527"/>
      <c r="J125" s="527"/>
      <c r="K125" s="17"/>
      <c r="L125" s="224"/>
      <c r="M125" s="527"/>
      <c r="N125" s="527" t="s">
        <v>147</v>
      </c>
      <c r="O125" s="18"/>
      <c r="P125" s="17"/>
    </row>
    <row r="126" spans="1:27" s="239" customFormat="1" ht="5.9" customHeight="1">
      <c r="A126" s="228"/>
      <c r="B126" s="240"/>
      <c r="C126" s="240"/>
      <c r="D126" s="240"/>
      <c r="E126" s="240"/>
      <c r="F126" s="240"/>
      <c r="G126" s="240"/>
      <c r="H126" s="240"/>
      <c r="I126" s="240"/>
      <c r="J126" s="242"/>
      <c r="K126" s="228"/>
      <c r="L126" s="224"/>
      <c r="M126" s="17"/>
    </row>
    <row r="127" spans="1:27" s="239" customFormat="1" ht="14.15" customHeight="1">
      <c r="A127" s="224"/>
      <c r="B127" s="233" t="s">
        <v>132</v>
      </c>
      <c r="C127" s="19"/>
      <c r="D127" s="19"/>
      <c r="E127" s="17"/>
      <c r="F127" s="17"/>
      <c r="G127" s="527"/>
      <c r="H127" s="527"/>
      <c r="I127" s="527"/>
      <c r="J127" s="225"/>
      <c r="K127" s="224"/>
      <c r="L127" s="224"/>
      <c r="M127" s="527"/>
      <c r="N127" s="527"/>
      <c r="O127" s="18"/>
      <c r="P127" s="17"/>
    </row>
    <row r="128" spans="1:27" s="239" customFormat="1" ht="14.15" customHeight="1">
      <c r="A128" s="224"/>
      <c r="B128" s="233"/>
      <c r="C128" s="234" t="s">
        <v>128</v>
      </c>
      <c r="D128" s="21">
        <f>INDEX(Tragwerk!$B$27:$D$27,1,MATCH(Eingabe!$C$4,Tragwerk!$B$14:$D$14))</f>
        <v>84.446010528493645</v>
      </c>
      <c r="E128" s="19" t="s">
        <v>2</v>
      </c>
      <c r="F128" s="17"/>
      <c r="G128" s="527" t="s">
        <v>361</v>
      </c>
      <c r="H128" s="527"/>
      <c r="I128" s="527"/>
      <c r="J128" s="225"/>
      <c r="K128" s="224"/>
      <c r="L128" s="224"/>
      <c r="M128" s="527"/>
      <c r="N128" s="527"/>
      <c r="O128" s="18"/>
      <c r="P128" s="17"/>
    </row>
    <row r="129" spans="1:16" s="239" customFormat="1" ht="14.15" customHeight="1">
      <c r="A129" s="224"/>
      <c r="B129" s="233"/>
      <c r="C129" s="234" t="s">
        <v>129</v>
      </c>
      <c r="D129" s="21">
        <f>INDEX(Tragwerk!$B$28:$D$28,1,MATCH(Eingabe!$C$4,Tragwerk!$B$14:$D$14))</f>
        <v>420</v>
      </c>
      <c r="E129" s="19" t="s">
        <v>0</v>
      </c>
      <c r="F129" s="17"/>
      <c r="G129" s="527" t="s">
        <v>1559</v>
      </c>
      <c r="H129" s="527"/>
      <c r="I129" s="527"/>
      <c r="J129" s="225"/>
      <c r="K129" s="224"/>
      <c r="L129" s="224"/>
      <c r="M129" s="527"/>
      <c r="N129" s="527"/>
      <c r="O129" s="18"/>
      <c r="P129" s="17"/>
    </row>
    <row r="130" spans="1:16" s="239" customFormat="1" ht="14.15" customHeight="1">
      <c r="A130" s="224"/>
      <c r="B130" s="233"/>
      <c r="C130" s="234" t="s">
        <v>130</v>
      </c>
      <c r="D130" s="20">
        <f>INDEX(Tragwerk!$B$29:$D$29,1,MATCH(Eingabe!$C$4,Tragwerk!$B$14:$D$14))</f>
        <v>176400</v>
      </c>
      <c r="E130" s="19" t="s">
        <v>16</v>
      </c>
      <c r="F130" s="17"/>
      <c r="G130" s="527" t="s">
        <v>1554</v>
      </c>
      <c r="H130" s="527"/>
      <c r="I130" s="527"/>
      <c r="J130" s="225"/>
      <c r="K130" s="224"/>
      <c r="L130" s="224"/>
      <c r="M130" s="527"/>
      <c r="N130" s="527"/>
      <c r="O130" s="18"/>
      <c r="P130" s="17"/>
    </row>
    <row r="131" spans="1:16" s="239" customFormat="1" ht="14.15" customHeight="1">
      <c r="A131" s="224"/>
      <c r="B131" s="233"/>
      <c r="C131" s="234" t="s">
        <v>131</v>
      </c>
      <c r="D131" s="20">
        <f>INDEX(Tragwerk!$B$30:$D$30,1,MATCH(Eingabe!$C$4,Tragwerk!$B$14:$D$14))</f>
        <v>142800</v>
      </c>
      <c r="E131" s="19" t="s">
        <v>16</v>
      </c>
      <c r="F131" s="17"/>
      <c r="G131" s="527" t="s">
        <v>1554</v>
      </c>
      <c r="H131" s="527"/>
      <c r="I131" s="527"/>
      <c r="J131" s="225"/>
      <c r="K131" s="224"/>
      <c r="L131" s="224"/>
      <c r="M131" s="527"/>
      <c r="N131" s="527"/>
      <c r="O131" s="18"/>
      <c r="P131" s="17"/>
    </row>
    <row r="132" spans="1:16" s="239" customFormat="1" ht="14.15" customHeight="1">
      <c r="A132" s="224"/>
      <c r="B132" s="233"/>
      <c r="C132" s="234" t="s">
        <v>133</v>
      </c>
      <c r="D132" s="21">
        <f>INDEX(Tragwerk!$B$31:$D$31,1,MATCH(Eingabe!$C$4,Tragwerk!$B$14:$D$14))</f>
        <v>1</v>
      </c>
      <c r="E132" s="19" t="s">
        <v>7</v>
      </c>
      <c r="F132" s="17"/>
      <c r="G132" s="527" t="s">
        <v>1324</v>
      </c>
      <c r="H132" s="527"/>
      <c r="I132" s="527"/>
      <c r="J132" s="225"/>
      <c r="K132" s="224"/>
      <c r="L132" s="224"/>
      <c r="M132" s="527"/>
      <c r="N132" s="527"/>
      <c r="O132" s="18"/>
      <c r="P132" s="17"/>
    </row>
    <row r="133" spans="1:16" s="239" customFormat="1" ht="14.15" customHeight="1">
      <c r="A133" s="224"/>
      <c r="B133" s="233"/>
      <c r="C133" s="234" t="s">
        <v>104</v>
      </c>
      <c r="D133" s="21">
        <f>INDEX(Tragwerk!$B$32:$D$32,1,MATCH(Eingabe!$C$4,Tragwerk!$B$14:$D$14))</f>
        <v>1</v>
      </c>
      <c r="E133" s="19" t="s">
        <v>7</v>
      </c>
      <c r="F133" s="17"/>
      <c r="G133" s="527" t="s">
        <v>1324</v>
      </c>
      <c r="H133" s="527"/>
      <c r="I133" s="527"/>
      <c r="J133" s="225"/>
      <c r="K133" s="224"/>
      <c r="L133" s="224"/>
      <c r="M133" s="527"/>
      <c r="N133" s="527"/>
      <c r="O133" s="18"/>
      <c r="P133" s="17"/>
    </row>
    <row r="134" spans="1:16" s="239" customFormat="1" ht="14.15" customHeight="1">
      <c r="A134" s="224"/>
      <c r="B134" s="233"/>
      <c r="C134" s="234" t="s">
        <v>110</v>
      </c>
      <c r="D134" s="19">
        <f>INDEX(Tragwerk!$B$33:$D$33,1,MATCH(Eingabe!$C$4,Tragwerk!$B$14:$D$14))</f>
        <v>1.04</v>
      </c>
      <c r="E134" s="19" t="s">
        <v>7</v>
      </c>
      <c r="F134" s="17"/>
      <c r="G134" s="527" t="s">
        <v>360</v>
      </c>
      <c r="H134" s="527"/>
      <c r="I134" s="527"/>
      <c r="J134" s="225"/>
      <c r="K134" s="224"/>
      <c r="L134" s="224"/>
      <c r="M134" s="527"/>
      <c r="N134" s="527"/>
      <c r="O134" s="18"/>
      <c r="P134" s="17"/>
    </row>
    <row r="135" spans="1:16" s="239" customFormat="1" ht="14.15" customHeight="1">
      <c r="A135" s="224"/>
      <c r="B135" s="233"/>
      <c r="C135" s="234" t="s">
        <v>111</v>
      </c>
      <c r="D135" s="19">
        <f>INDEX(Tragwerk!$B$34:$D$34,1,MATCH(Eingabe!$C$4,Tragwerk!$B$14:$D$14))</f>
        <v>1.07</v>
      </c>
      <c r="E135" s="19" t="s">
        <v>7</v>
      </c>
      <c r="F135" s="17"/>
      <c r="G135" s="527" t="s">
        <v>360</v>
      </c>
      <c r="H135" s="527"/>
      <c r="I135" s="527"/>
      <c r="J135" s="225"/>
      <c r="K135" s="224"/>
      <c r="L135" s="224"/>
      <c r="M135" s="527"/>
      <c r="N135" s="527"/>
      <c r="O135" s="18"/>
      <c r="P135" s="17"/>
    </row>
    <row r="136" spans="1:16" s="239" customFormat="1" ht="14.15" customHeight="1">
      <c r="A136" s="224"/>
      <c r="B136" s="233"/>
      <c r="C136" s="234" t="s">
        <v>112</v>
      </c>
      <c r="D136" s="19">
        <f>INDEX(Tragwerk!$B$35:$D$35,1,MATCH(Eingabe!$C$4,Tragwerk!$B$14:$D$14))</f>
        <v>1.0900000000000001</v>
      </c>
      <c r="E136" s="19" t="s">
        <v>7</v>
      </c>
      <c r="F136" s="17"/>
      <c r="G136" s="527" t="s">
        <v>360</v>
      </c>
      <c r="H136" s="527"/>
      <c r="I136" s="527"/>
      <c r="J136" s="225"/>
      <c r="K136" s="224"/>
      <c r="L136" s="224"/>
      <c r="M136" s="527"/>
      <c r="N136" s="527"/>
      <c r="O136" s="18"/>
      <c r="P136" s="17"/>
    </row>
    <row r="137" spans="1:16" s="239" customFormat="1" ht="14.15" customHeight="1">
      <c r="A137" s="224"/>
      <c r="B137" s="233"/>
      <c r="C137" s="234" t="s">
        <v>108</v>
      </c>
      <c r="D137" s="19">
        <f>Tragwerk!$B$38</f>
        <v>1.2</v>
      </c>
      <c r="E137" s="19" t="s">
        <v>7</v>
      </c>
      <c r="F137" s="17"/>
      <c r="G137" s="527" t="s">
        <v>1324</v>
      </c>
      <c r="H137" s="527"/>
      <c r="I137" s="527"/>
      <c r="J137" s="225"/>
      <c r="K137" s="224"/>
      <c r="L137" s="224"/>
      <c r="M137" s="527"/>
      <c r="N137" s="527"/>
      <c r="O137" s="18"/>
      <c r="P137" s="17"/>
    </row>
    <row r="138" spans="1:16" s="239" customFormat="1" ht="14.15" customHeight="1">
      <c r="A138" s="224"/>
      <c r="B138" s="233"/>
      <c r="C138" s="234" t="s">
        <v>123</v>
      </c>
      <c r="D138" s="21">
        <f>INDEX(Tragwerk!B39:D39,1,MATCH(Eingabe!C4,Tragwerk!B14:D14))</f>
        <v>59.246248656498729</v>
      </c>
      <c r="E138" s="19" t="s">
        <v>2</v>
      </c>
      <c r="F138" s="17"/>
      <c r="G138" s="527" t="s">
        <v>73</v>
      </c>
      <c r="H138" s="527"/>
      <c r="I138" s="527"/>
      <c r="J138" s="225"/>
      <c r="K138" s="224"/>
      <c r="L138" s="224"/>
      <c r="M138" s="527"/>
      <c r="N138" s="527"/>
      <c r="O138" s="18"/>
      <c r="P138" s="17"/>
    </row>
    <row r="139" spans="1:16" s="239" customFormat="1" ht="14.15" customHeight="1">
      <c r="A139" s="224"/>
      <c r="B139" s="233"/>
      <c r="C139" s="527" t="s">
        <v>302</v>
      </c>
      <c r="D139" s="21">
        <f>Tragwerk!$B$60</f>
        <v>4.2779482683033754</v>
      </c>
      <c r="E139" s="19" t="s">
        <v>2</v>
      </c>
      <c r="F139" s="17"/>
      <c r="G139" s="527" t="s">
        <v>75</v>
      </c>
      <c r="H139" s="527"/>
      <c r="I139" s="527"/>
      <c r="J139" s="225"/>
      <c r="K139" s="224"/>
      <c r="L139" s="224"/>
      <c r="M139" s="527"/>
      <c r="N139" s="527"/>
      <c r="O139" s="18"/>
      <c r="P139" s="17"/>
    </row>
    <row r="140" spans="1:16" s="239" customFormat="1" ht="14.15" customHeight="1">
      <c r="A140" s="224"/>
      <c r="B140" s="17"/>
      <c r="C140" s="25" t="s">
        <v>122</v>
      </c>
      <c r="D140" s="26">
        <f>D139/D138</f>
        <v>7.2206230188620171E-2</v>
      </c>
      <c r="E140" s="520" t="s">
        <v>7</v>
      </c>
      <c r="F140" s="27"/>
      <c r="G140" s="24" t="s">
        <v>46</v>
      </c>
      <c r="H140" s="527"/>
      <c r="I140" s="527"/>
      <c r="J140" s="225"/>
      <c r="K140" s="224"/>
      <c r="L140" s="224"/>
      <c r="M140" s="527"/>
      <c r="N140" s="527"/>
      <c r="O140" s="18"/>
      <c r="P140" s="17"/>
    </row>
    <row r="141" spans="1:16" s="239" customFormat="1" ht="5.9" customHeight="1">
      <c r="A141" s="228"/>
      <c r="B141" s="240"/>
      <c r="C141" s="240"/>
      <c r="D141" s="240"/>
      <c r="E141" s="240"/>
      <c r="F141" s="240"/>
      <c r="G141" s="240"/>
      <c r="H141" s="240"/>
      <c r="I141" s="240"/>
      <c r="J141" s="242"/>
      <c r="K141" s="228"/>
      <c r="L141" s="224"/>
      <c r="M141" s="17"/>
    </row>
    <row r="142" spans="1:16" s="239" customFormat="1" ht="14.15" customHeight="1">
      <c r="A142" s="224"/>
      <c r="B142" s="233" t="s">
        <v>8</v>
      </c>
      <c r="C142" s="19"/>
      <c r="D142" s="19"/>
      <c r="E142" s="17"/>
      <c r="F142" s="17"/>
      <c r="G142" s="527"/>
      <c r="H142" s="527"/>
      <c r="I142" s="527"/>
      <c r="J142" s="225"/>
      <c r="K142" s="224"/>
      <c r="L142" s="224"/>
      <c r="M142" s="527"/>
      <c r="N142" s="527"/>
      <c r="O142" s="18"/>
      <c r="P142" s="17"/>
    </row>
    <row r="143" spans="1:16" s="239" customFormat="1" ht="16" customHeight="1">
      <c r="A143" s="224"/>
      <c r="B143" s="17"/>
      <c r="C143" s="527" t="s">
        <v>78</v>
      </c>
      <c r="D143" s="21">
        <f>INDEX(Tragwerk!B41:D41,1,MATCH(Eingabe!$C$4,Tragwerk!$B$14:$D$14))</f>
        <v>80.007519646593167</v>
      </c>
      <c r="E143" s="19" t="s">
        <v>2</v>
      </c>
      <c r="F143" s="17"/>
      <c r="G143" s="527" t="s">
        <v>1324</v>
      </c>
      <c r="H143" s="527"/>
      <c r="I143" s="527"/>
      <c r="J143" s="225"/>
      <c r="K143" s="224"/>
      <c r="L143" s="224"/>
      <c r="M143" s="527"/>
      <c r="N143" s="527"/>
      <c r="O143" s="18"/>
      <c r="P143" s="17"/>
    </row>
    <row r="144" spans="1:16" s="239" customFormat="1" ht="16" customHeight="1">
      <c r="A144" s="224"/>
      <c r="B144" s="17"/>
      <c r="C144" s="527" t="s">
        <v>79</v>
      </c>
      <c r="D144" s="19">
        <f>INDEX(Tragwerk!B42:D42,1,MATCH(Eingabe!$C$4,Tragwerk!$B$14:$D$14))</f>
        <v>176400</v>
      </c>
      <c r="E144" s="19" t="s">
        <v>16</v>
      </c>
      <c r="F144" s="17"/>
      <c r="G144" s="527" t="s">
        <v>1324</v>
      </c>
      <c r="H144" s="527"/>
      <c r="I144" s="527"/>
      <c r="J144" s="225"/>
      <c r="K144" s="224"/>
      <c r="L144" s="224"/>
      <c r="M144" s="527"/>
      <c r="N144" s="527"/>
      <c r="O144" s="18"/>
      <c r="P144" s="17"/>
    </row>
    <row r="145" spans="1:16" s="239" customFormat="1" ht="14.15" customHeight="1">
      <c r="A145" s="224"/>
      <c r="B145" s="17"/>
      <c r="C145" s="527" t="s">
        <v>80</v>
      </c>
      <c r="D145" s="19">
        <f>INDEX(Tragwerk!B43:D43,1,MATCH(Eingabe!$C$4,Tragwerk!$B$14:$D$14))</f>
        <v>142800</v>
      </c>
      <c r="E145" s="19" t="s">
        <v>16</v>
      </c>
      <c r="F145" s="17"/>
      <c r="G145" s="527" t="s">
        <v>1324</v>
      </c>
      <c r="H145" s="527"/>
      <c r="I145" s="527"/>
      <c r="J145" s="225"/>
      <c r="K145" s="224"/>
      <c r="L145" s="224"/>
      <c r="M145" s="527"/>
      <c r="N145" s="527"/>
      <c r="O145" s="18"/>
      <c r="P145" s="17"/>
    </row>
    <row r="146" spans="1:16" s="239" customFormat="1" ht="14.15" customHeight="1">
      <c r="A146" s="224"/>
      <c r="B146" s="17"/>
      <c r="C146" s="23" t="s">
        <v>81</v>
      </c>
      <c r="D146" s="21">
        <f>INDEX(Tragwerk!B44:D44,1,MATCH(Eingabe!$C$4,Tragwerk!$B$14:$D$14))</f>
        <v>1</v>
      </c>
      <c r="E146" s="19" t="s">
        <v>7</v>
      </c>
      <c r="F146" s="17"/>
      <c r="G146" s="527" t="s">
        <v>1324</v>
      </c>
      <c r="H146" s="527"/>
      <c r="I146" s="527"/>
      <c r="J146" s="225"/>
      <c r="K146" s="224"/>
      <c r="L146" s="224"/>
      <c r="M146" s="527"/>
      <c r="N146" s="527"/>
      <c r="O146" s="18"/>
      <c r="P146" s="17"/>
    </row>
    <row r="147" spans="1:16" s="239" customFormat="1" ht="14.15" customHeight="1">
      <c r="A147" s="224"/>
      <c r="B147" s="17"/>
      <c r="C147" s="23" t="s">
        <v>82</v>
      </c>
      <c r="D147" s="21">
        <f>INDEX(Tragwerk!B45:D45,1,MATCH(Eingabe!$C$4,Tragwerk!$B$14:$D$14))</f>
        <v>1</v>
      </c>
      <c r="E147" s="19" t="s">
        <v>7</v>
      </c>
      <c r="F147" s="17"/>
      <c r="G147" s="527" t="s">
        <v>1324</v>
      </c>
      <c r="H147" s="527"/>
      <c r="I147" s="527"/>
      <c r="J147" s="225"/>
      <c r="K147" s="224"/>
      <c r="L147" s="224"/>
      <c r="M147" s="527"/>
      <c r="N147" s="527"/>
      <c r="O147" s="18"/>
      <c r="P147" s="17"/>
    </row>
    <row r="148" spans="1:16" s="239" customFormat="1" ht="14.15" customHeight="1">
      <c r="A148" s="224"/>
      <c r="B148" s="17"/>
      <c r="C148" s="23" t="s">
        <v>83</v>
      </c>
      <c r="D148" s="21">
        <f>INDEX(Tragwerk!B46:D46,1,MATCH(Eingabe!$C$4,Tragwerk!$B$14:$D$14))</f>
        <v>1</v>
      </c>
      <c r="E148" s="19" t="s">
        <v>7</v>
      </c>
      <c r="F148" s="17"/>
      <c r="G148" s="527" t="s">
        <v>1324</v>
      </c>
      <c r="H148" s="527"/>
      <c r="I148" s="527"/>
      <c r="J148" s="225"/>
      <c r="K148" s="224"/>
      <c r="L148" s="224"/>
      <c r="M148" s="527"/>
      <c r="N148" s="527"/>
      <c r="O148" s="18"/>
      <c r="P148" s="17"/>
    </row>
    <row r="149" spans="1:16" s="239" customFormat="1" ht="14.15" customHeight="1">
      <c r="A149" s="224"/>
      <c r="B149" s="17"/>
      <c r="C149" s="527" t="s">
        <v>77</v>
      </c>
      <c r="D149" s="21">
        <f>INDEX(Tragwerk!B48:D48,1,MATCH(Eingabe!$C$4,Tragwerk!$B$14:$D$14))</f>
        <v>64.767992094861128</v>
      </c>
      <c r="E149" s="19" t="s">
        <v>2</v>
      </c>
      <c r="F149" s="17"/>
      <c r="G149" s="527" t="s">
        <v>1324</v>
      </c>
      <c r="H149" s="527"/>
      <c r="I149" s="527"/>
      <c r="J149" s="225"/>
      <c r="K149" s="224"/>
      <c r="L149" s="224"/>
      <c r="M149" s="526"/>
      <c r="N149" s="274"/>
      <c r="O149" s="18"/>
      <c r="P149" s="217"/>
    </row>
    <row r="150" spans="1:16" s="239" customFormat="1" ht="14.15" customHeight="1">
      <c r="A150" s="224"/>
      <c r="B150" s="17"/>
      <c r="C150" s="17" t="s">
        <v>12</v>
      </c>
      <c r="D150" s="21">
        <f>Tragwerk!$B$49</f>
        <v>1.2</v>
      </c>
      <c r="E150" s="19" t="s">
        <v>7</v>
      </c>
      <c r="F150" s="17"/>
      <c r="G150" s="527" t="s">
        <v>1324</v>
      </c>
      <c r="H150" s="527"/>
      <c r="I150" s="527"/>
      <c r="J150" s="225"/>
      <c r="K150" s="224"/>
      <c r="L150" s="224"/>
      <c r="M150" s="526"/>
      <c r="N150" s="274"/>
      <c r="O150" s="18"/>
      <c r="P150" s="217"/>
    </row>
    <row r="151" spans="1:16" s="239" customFormat="1" ht="14.15" customHeight="1">
      <c r="A151" s="224"/>
      <c r="B151" s="17"/>
      <c r="C151" s="527" t="s">
        <v>71</v>
      </c>
      <c r="D151" s="21">
        <f>INDEX(Tragwerk!B50:D50,1,MATCH(Eingabe!$C$4,Tragwerk!$B$14:$D$14))</f>
        <v>53.973326745717607</v>
      </c>
      <c r="E151" s="19" t="s">
        <v>2</v>
      </c>
      <c r="F151" s="17"/>
      <c r="G151" s="527" t="s">
        <v>73</v>
      </c>
      <c r="H151" s="527"/>
      <c r="I151" s="527"/>
      <c r="J151" s="225"/>
      <c r="K151" s="224"/>
      <c r="L151" s="224"/>
      <c r="M151" s="526"/>
      <c r="N151" s="274"/>
      <c r="O151" s="18"/>
      <c r="P151" s="217"/>
    </row>
    <row r="152" spans="1:16" s="239" customFormat="1" ht="14.15" customHeight="1">
      <c r="A152" s="224"/>
      <c r="B152" s="17"/>
      <c r="C152" s="527" t="s">
        <v>302</v>
      </c>
      <c r="D152" s="21">
        <f>Tragwerk!$B$60</f>
        <v>4.2779482683033754</v>
      </c>
      <c r="E152" s="19" t="s">
        <v>2</v>
      </c>
      <c r="F152" s="17"/>
      <c r="G152" s="527" t="s">
        <v>75</v>
      </c>
      <c r="H152" s="527"/>
      <c r="I152" s="527"/>
      <c r="J152" s="225"/>
      <c r="K152" s="224"/>
      <c r="L152" s="224"/>
      <c r="M152" s="526"/>
      <c r="N152" s="274"/>
      <c r="O152" s="18"/>
      <c r="P152" s="217"/>
    </row>
    <row r="153" spans="1:16" s="239" customFormat="1" ht="14.15" customHeight="1">
      <c r="A153" s="224"/>
      <c r="B153" s="17"/>
      <c r="C153" s="25" t="s">
        <v>89</v>
      </c>
      <c r="D153" s="26">
        <f>D152/D151</f>
        <v>7.9260414842648175E-2</v>
      </c>
      <c r="E153" s="520" t="s">
        <v>7</v>
      </c>
      <c r="F153" s="27"/>
      <c r="G153" s="24" t="s">
        <v>46</v>
      </c>
      <c r="H153" s="527"/>
      <c r="I153" s="527"/>
      <c r="J153" s="225"/>
      <c r="K153" s="224"/>
      <c r="L153" s="224"/>
      <c r="M153" s="527"/>
      <c r="N153" s="527"/>
      <c r="O153" s="18"/>
      <c r="P153" s="17"/>
    </row>
    <row r="154" spans="1:16" s="239" customFormat="1" ht="5.9" customHeight="1">
      <c r="A154" s="224"/>
      <c r="B154" s="17"/>
      <c r="C154" s="25"/>
      <c r="D154" s="26"/>
      <c r="E154" s="520"/>
      <c r="F154" s="27"/>
      <c r="G154" s="24"/>
      <c r="H154" s="527"/>
      <c r="I154" s="527"/>
      <c r="J154" s="225"/>
      <c r="K154" s="224"/>
      <c r="L154" s="224"/>
      <c r="M154" s="527"/>
      <c r="N154" s="527"/>
      <c r="O154" s="18"/>
      <c r="P154" s="17"/>
    </row>
    <row r="155" spans="1:16" s="239" customFormat="1" ht="14.15" customHeight="1">
      <c r="A155" s="1032" t="s">
        <v>513</v>
      </c>
      <c r="B155" s="1032"/>
      <c r="C155" s="1032"/>
      <c r="D155" s="1032"/>
      <c r="E155" s="1032"/>
      <c r="F155" s="1032"/>
      <c r="G155" s="1032"/>
      <c r="H155" s="1032"/>
      <c r="I155" s="1032"/>
      <c r="J155" s="1032"/>
      <c r="K155" s="520"/>
      <c r="L155" s="224"/>
      <c r="M155" s="527"/>
      <c r="N155" s="527"/>
      <c r="O155" s="18"/>
      <c r="P155" s="17"/>
    </row>
    <row r="156" spans="1:16" s="239" customFormat="1" ht="14.15" customHeight="1">
      <c r="A156" s="224"/>
      <c r="B156" s="235" t="s">
        <v>120</v>
      </c>
      <c r="C156" s="25"/>
      <c r="D156" s="26"/>
      <c r="E156" s="520"/>
      <c r="F156" s="27"/>
      <c r="G156" s="24"/>
      <c r="H156" s="527"/>
      <c r="I156" s="527"/>
      <c r="J156" s="225"/>
      <c r="K156" s="224"/>
      <c r="L156" s="224"/>
      <c r="M156" s="527"/>
      <c r="N156" s="527"/>
      <c r="O156" s="18"/>
      <c r="P156" s="17"/>
    </row>
    <row r="157" spans="1:16" s="239" customFormat="1" ht="14.15" customHeight="1">
      <c r="A157" s="224"/>
      <c r="B157" s="17"/>
      <c r="C157" s="527" t="s">
        <v>118</v>
      </c>
      <c r="D157" s="21">
        <f>INDEX(Tragwerk!B65:D65,1,MATCH(Eingabe!$C$4,Tragwerk!$B$14:$D$14))</f>
        <v>760.54326346673008</v>
      </c>
      <c r="E157" s="19" t="s">
        <v>119</v>
      </c>
      <c r="F157" s="17"/>
      <c r="G157" s="527" t="s">
        <v>362</v>
      </c>
      <c r="H157" s="527"/>
      <c r="I157" s="527"/>
      <c r="J157" s="225"/>
      <c r="K157" s="224"/>
      <c r="L157" s="224"/>
      <c r="M157" s="527"/>
      <c r="N157" s="527"/>
      <c r="O157" s="18"/>
      <c r="P157" s="17"/>
    </row>
    <row r="158" spans="1:16" s="239" customFormat="1" ht="14.15" customHeight="1">
      <c r="A158" s="224"/>
      <c r="B158" s="17"/>
      <c r="C158" s="17" t="s">
        <v>3</v>
      </c>
      <c r="D158" s="21">
        <f>Tragwerk!$B$66</f>
        <v>1.56</v>
      </c>
      <c r="E158" s="19" t="s">
        <v>7</v>
      </c>
      <c r="F158" s="17"/>
      <c r="G158" s="527" t="s">
        <v>359</v>
      </c>
      <c r="H158" s="527"/>
      <c r="I158" s="527"/>
      <c r="J158" s="225"/>
      <c r="K158" s="224"/>
      <c r="L158" s="224"/>
      <c r="M158" s="527"/>
      <c r="N158" s="527"/>
      <c r="O158" s="18"/>
      <c r="P158" s="17"/>
    </row>
    <row r="159" spans="1:16" s="239" customFormat="1" ht="14.15" customHeight="1">
      <c r="A159" s="224"/>
      <c r="B159" s="17"/>
      <c r="C159" s="527" t="s">
        <v>65</v>
      </c>
      <c r="D159" s="21">
        <f>INDEX(Tragwerk!B67:D67,1,MATCH(Eingabe!$C$4,Tragwerk!$B$14:$D$14))</f>
        <v>30.470483311968351</v>
      </c>
      <c r="E159" s="19" t="s">
        <v>2</v>
      </c>
      <c r="F159" s="17"/>
      <c r="G159" s="527" t="s">
        <v>73</v>
      </c>
      <c r="H159" s="527"/>
      <c r="I159" s="527"/>
      <c r="J159" s="225"/>
      <c r="K159" s="224"/>
      <c r="L159" s="224"/>
      <c r="M159" s="527"/>
      <c r="N159" s="527"/>
      <c r="O159" s="18"/>
      <c r="P159" s="17"/>
    </row>
    <row r="160" spans="1:16" s="239" customFormat="1" ht="14.15" customHeight="1">
      <c r="A160" s="224"/>
      <c r="B160" s="17"/>
      <c r="C160" s="527" t="s">
        <v>303</v>
      </c>
      <c r="D160" s="21">
        <f>Tragwerk!$B$68</f>
        <v>27.194109375</v>
      </c>
      <c r="E160" s="19" t="s">
        <v>2</v>
      </c>
      <c r="F160" s="17"/>
      <c r="G160" s="527" t="s">
        <v>75</v>
      </c>
      <c r="H160" s="527"/>
      <c r="I160" s="527"/>
      <c r="J160" s="225"/>
      <c r="K160" s="224"/>
      <c r="L160" s="224"/>
      <c r="M160" s="527"/>
      <c r="N160" s="527"/>
      <c r="O160" s="18"/>
      <c r="P160" s="17"/>
    </row>
    <row r="161" spans="1:16" s="239" customFormat="1" ht="14.15" customHeight="1">
      <c r="A161" s="224"/>
      <c r="B161" s="17"/>
      <c r="C161" s="25" t="s">
        <v>90</v>
      </c>
      <c r="D161" s="26">
        <f>D160/D159</f>
        <v>0.8924738441650697</v>
      </c>
      <c r="E161" s="520" t="s">
        <v>7</v>
      </c>
      <c r="F161" s="27"/>
      <c r="G161" s="24" t="s">
        <v>46</v>
      </c>
      <c r="H161" s="527"/>
      <c r="I161" s="527"/>
      <c r="J161" s="225"/>
      <c r="K161" s="224"/>
      <c r="L161" s="224"/>
      <c r="M161" s="527"/>
      <c r="N161" s="527"/>
      <c r="O161" s="18"/>
      <c r="P161" s="17"/>
    </row>
    <row r="162" spans="1:16" s="239" customFormat="1" ht="5.9" customHeight="1">
      <c r="A162" s="224"/>
      <c r="B162" s="17"/>
      <c r="C162" s="25"/>
      <c r="D162" s="26"/>
      <c r="E162" s="520"/>
      <c r="F162" s="27"/>
      <c r="G162" s="24"/>
      <c r="H162" s="527"/>
      <c r="I162" s="527"/>
      <c r="J162" s="225"/>
      <c r="K162" s="224"/>
      <c r="L162" s="224"/>
      <c r="M162" s="527"/>
      <c r="N162" s="527"/>
      <c r="O162" s="18"/>
      <c r="P162" s="17"/>
    </row>
    <row r="163" spans="1:16" s="239" customFormat="1" ht="14.15" customHeight="1">
      <c r="A163" s="224"/>
      <c r="B163" s="238" t="s">
        <v>9</v>
      </c>
      <c r="C163" s="25"/>
      <c r="D163" s="26"/>
      <c r="E163" s="520"/>
      <c r="F163" s="27"/>
      <c r="G163" s="24"/>
      <c r="H163" s="527"/>
      <c r="I163" s="527"/>
      <c r="J163" s="225"/>
      <c r="K163" s="224"/>
      <c r="L163" s="224"/>
      <c r="M163" s="527"/>
      <c r="N163" s="527"/>
      <c r="O163" s="18"/>
      <c r="P163" s="17"/>
    </row>
    <row r="164" spans="1:16" s="239" customFormat="1" ht="14.15" customHeight="1">
      <c r="A164" s="224"/>
      <c r="B164" s="17"/>
      <c r="C164" s="4" t="s">
        <v>10</v>
      </c>
      <c r="D164" s="18">
        <f>Tragwerk!$B$71</f>
        <v>2.5</v>
      </c>
      <c r="E164" s="19" t="s">
        <v>7</v>
      </c>
      <c r="F164" s="17"/>
      <c r="G164" s="17" t="s">
        <v>363</v>
      </c>
      <c r="H164" s="527"/>
      <c r="I164" s="527"/>
      <c r="J164" s="225"/>
      <c r="K164" s="224"/>
      <c r="L164" s="224"/>
      <c r="M164" s="527"/>
      <c r="N164" s="527"/>
      <c r="O164" s="18"/>
      <c r="P164" s="17"/>
    </row>
    <row r="165" spans="1:16" s="239" customFormat="1" ht="14.15" customHeight="1">
      <c r="A165" s="224"/>
      <c r="B165" s="17"/>
      <c r="C165" s="527" t="s">
        <v>18</v>
      </c>
      <c r="D165" s="21">
        <f>INDEX(Tragwerk!B72:D72,1,MATCH(Eingabe!$C$4,Tragwerk!$B$14:$D$14))</f>
        <v>161.91998023715283</v>
      </c>
      <c r="E165" s="237" t="s">
        <v>2</v>
      </c>
      <c r="F165" s="17"/>
      <c r="G165" s="527" t="s">
        <v>1324</v>
      </c>
      <c r="H165" s="527"/>
      <c r="I165" s="527"/>
      <c r="J165" s="225"/>
      <c r="K165" s="224"/>
      <c r="L165" s="224"/>
      <c r="M165" s="527"/>
      <c r="N165" s="527"/>
      <c r="O165" s="18"/>
      <c r="P165" s="17"/>
    </row>
    <row r="166" spans="1:16" s="239" customFormat="1" ht="14.15" customHeight="1">
      <c r="A166" s="224"/>
      <c r="B166" s="17"/>
      <c r="C166" s="17" t="s">
        <v>12</v>
      </c>
      <c r="D166" s="21">
        <f>Tragwerk!$B$73</f>
        <v>1.2</v>
      </c>
      <c r="E166" s="19" t="s">
        <v>7</v>
      </c>
      <c r="F166" s="17"/>
      <c r="G166" s="527" t="s">
        <v>1324</v>
      </c>
      <c r="H166" s="527"/>
      <c r="I166" s="527"/>
      <c r="J166" s="225"/>
      <c r="K166" s="224"/>
      <c r="L166" s="224"/>
      <c r="M166" s="527"/>
      <c r="N166" s="527"/>
      <c r="O166" s="18"/>
      <c r="P166" s="17"/>
    </row>
    <row r="167" spans="1:16" s="239" customFormat="1" ht="14.15" customHeight="1">
      <c r="A167" s="224"/>
      <c r="B167" s="17"/>
      <c r="C167" s="17" t="s">
        <v>72</v>
      </c>
      <c r="D167" s="21">
        <f>INDEX(Tragwerk!B74:D74,1,MATCH(Eingabe!$C$4,Tragwerk!$B$14:$D$14))</f>
        <v>134.93331686429403</v>
      </c>
      <c r="E167" s="19" t="s">
        <v>2</v>
      </c>
      <c r="F167" s="17"/>
      <c r="G167" s="527" t="s">
        <v>73</v>
      </c>
      <c r="H167" s="527"/>
      <c r="I167" s="527"/>
      <c r="J167" s="225"/>
      <c r="K167" s="224"/>
      <c r="L167" s="224"/>
      <c r="M167" s="527"/>
      <c r="N167" s="527"/>
      <c r="O167" s="18"/>
      <c r="P167" s="17"/>
    </row>
    <row r="168" spans="1:16" s="239" customFormat="1" ht="14.15" customHeight="1">
      <c r="A168" s="224"/>
      <c r="B168" s="17"/>
      <c r="C168" s="527" t="s">
        <v>303</v>
      </c>
      <c r="D168" s="21">
        <f>Tragwerk!$B$91</f>
        <v>54.38821875</v>
      </c>
      <c r="E168" s="19" t="s">
        <v>2</v>
      </c>
      <c r="F168" s="17"/>
      <c r="G168" s="527" t="s">
        <v>75</v>
      </c>
      <c r="H168" s="527"/>
      <c r="I168" s="527"/>
      <c r="J168" s="225"/>
      <c r="K168" s="224"/>
      <c r="L168" s="224"/>
      <c r="M168" s="527"/>
      <c r="N168" s="527"/>
      <c r="O168" s="18"/>
      <c r="P168" s="17"/>
    </row>
    <row r="169" spans="1:16" s="239" customFormat="1" ht="14.15" customHeight="1">
      <c r="A169" s="224"/>
      <c r="B169" s="17"/>
      <c r="C169" s="25" t="s">
        <v>91</v>
      </c>
      <c r="D169" s="26">
        <f>D168/D167</f>
        <v>0.40307479289714382</v>
      </c>
      <c r="E169" s="520" t="s">
        <v>7</v>
      </c>
      <c r="F169" s="27"/>
      <c r="G169" s="24" t="s">
        <v>46</v>
      </c>
      <c r="H169" s="527"/>
      <c r="I169" s="527"/>
      <c r="J169" s="225"/>
      <c r="K169" s="224"/>
      <c r="L169" s="224"/>
      <c r="M169" s="527"/>
      <c r="N169" s="527"/>
      <c r="O169" s="18"/>
      <c r="P169" s="17"/>
    </row>
    <row r="170" spans="1:16" s="239" customFormat="1" ht="5.9" customHeight="1">
      <c r="A170" s="224"/>
      <c r="B170" s="17"/>
      <c r="C170" s="25"/>
      <c r="D170" s="26"/>
      <c r="E170" s="520"/>
      <c r="F170" s="27"/>
      <c r="G170" s="24"/>
      <c r="H170" s="527"/>
      <c r="I170" s="527"/>
      <c r="J170" s="225"/>
      <c r="K170" s="224"/>
      <c r="L170" s="224"/>
      <c r="M170" s="527"/>
      <c r="N170" s="527"/>
      <c r="O170" s="18"/>
      <c r="P170" s="17"/>
    </row>
    <row r="171" spans="1:16" s="239" customFormat="1" ht="14.15" customHeight="1">
      <c r="A171" s="224"/>
      <c r="B171" s="238" t="s">
        <v>11</v>
      </c>
      <c r="C171" s="25"/>
      <c r="D171" s="26"/>
      <c r="E171" s="520"/>
      <c r="F171" s="27"/>
      <c r="G171" s="24"/>
      <c r="H171" s="527"/>
      <c r="I171" s="527"/>
      <c r="J171" s="225"/>
      <c r="K171" s="224"/>
      <c r="L171" s="224"/>
      <c r="M171" s="527"/>
      <c r="N171" s="527"/>
      <c r="O171" s="18"/>
      <c r="P171" s="17"/>
    </row>
    <row r="172" spans="1:16" s="239" customFormat="1" ht="14.15" customHeight="1">
      <c r="A172" s="224"/>
      <c r="B172" s="238"/>
      <c r="C172" s="234" t="s">
        <v>21</v>
      </c>
      <c r="D172" s="450">
        <f>INDEX(Tragwerk!B76:D76,1,MATCH(Eingabe!$C$4,Tragwerk!$B$14:$D$14))</f>
        <v>3.4156502553198659E-2</v>
      </c>
      <c r="E172" s="19" t="s">
        <v>7</v>
      </c>
      <c r="F172" s="27"/>
      <c r="G172" s="527" t="s">
        <v>1324</v>
      </c>
      <c r="H172" s="527"/>
      <c r="I172" s="527"/>
      <c r="J172" s="225"/>
      <c r="K172" s="224"/>
      <c r="L172" s="224"/>
      <c r="M172" s="527"/>
      <c r="N172" s="527"/>
      <c r="O172" s="18"/>
      <c r="P172" s="17"/>
    </row>
    <row r="173" spans="1:16" s="239" customFormat="1" ht="14.15" customHeight="1">
      <c r="A173" s="224"/>
      <c r="B173" s="238"/>
      <c r="C173" s="234" t="s">
        <v>134</v>
      </c>
      <c r="D173" s="450">
        <f>INDEX(Tragwerk!B77:D77,1,MATCH(Eingabe!$C$4,Tragwerk!$B$14:$D$14))</f>
        <v>4.573050519273264E-2</v>
      </c>
      <c r="E173" s="19" t="s">
        <v>7</v>
      </c>
      <c r="F173" s="27"/>
      <c r="G173" s="527" t="s">
        <v>1324</v>
      </c>
      <c r="H173" s="527"/>
      <c r="I173" s="527"/>
      <c r="J173" s="225"/>
      <c r="K173" s="224"/>
      <c r="L173" s="224"/>
      <c r="M173" s="527"/>
      <c r="N173" s="527"/>
      <c r="O173" s="18"/>
      <c r="P173" s="17"/>
    </row>
    <row r="174" spans="1:16" s="239" customFormat="1" ht="14.15" customHeight="1">
      <c r="A174" s="224"/>
      <c r="B174" s="238"/>
      <c r="C174" s="234" t="s">
        <v>481</v>
      </c>
      <c r="D174" s="21">
        <f>INDEX(Tragwerk!B78:D78,1,MATCH(Eingabe!$C$4,Tragwerk!$B$14:$D$14))</f>
        <v>662.3899818033774</v>
      </c>
      <c r="E174" s="237" t="s">
        <v>2</v>
      </c>
      <c r="F174" s="27"/>
      <c r="G174" s="527" t="s">
        <v>1324</v>
      </c>
      <c r="H174" s="527"/>
      <c r="I174" s="527"/>
      <c r="J174" s="225"/>
      <c r="K174" s="224"/>
      <c r="L174" s="224"/>
      <c r="M174" s="527"/>
      <c r="N174" s="527"/>
      <c r="O174" s="18"/>
      <c r="P174" s="17"/>
    </row>
    <row r="175" spans="1:16" s="239" customFormat="1" ht="14.15" customHeight="1">
      <c r="A175" s="224"/>
      <c r="B175" s="238"/>
      <c r="C175" s="234" t="s">
        <v>482</v>
      </c>
      <c r="D175" s="20">
        <f>INDEX(Tragwerk!B79:D79,1,MATCH(Eingabe!$C$4,Tragwerk!$B$14:$D$14))</f>
        <v>6480000</v>
      </c>
      <c r="E175" s="19" t="s">
        <v>16</v>
      </c>
      <c r="F175" s="27"/>
      <c r="G175" s="527" t="s">
        <v>1324</v>
      </c>
      <c r="H175" s="527"/>
      <c r="I175" s="527"/>
      <c r="J175" s="225"/>
      <c r="K175" s="224"/>
      <c r="L175" s="224"/>
      <c r="M175" s="527"/>
      <c r="N175" s="527"/>
      <c r="O175" s="18"/>
      <c r="P175" s="17"/>
    </row>
    <row r="176" spans="1:16" s="239" customFormat="1" ht="14.15" customHeight="1">
      <c r="A176" s="224"/>
      <c r="B176" s="238"/>
      <c r="C176" s="234" t="s">
        <v>483</v>
      </c>
      <c r="D176" s="20">
        <f>INDEX(Tragwerk!B80:D80,1,MATCH(Eingabe!$C$4,Tragwerk!$B$14:$D$14))</f>
        <v>720000</v>
      </c>
      <c r="E176" s="19" t="s">
        <v>16</v>
      </c>
      <c r="F176" s="27"/>
      <c r="G176" s="527" t="s">
        <v>1324</v>
      </c>
      <c r="H176" s="527"/>
      <c r="I176" s="527"/>
      <c r="J176" s="225"/>
      <c r="K176" s="224"/>
      <c r="L176" s="224"/>
      <c r="M176" s="527"/>
      <c r="N176" s="527"/>
      <c r="O176" s="18"/>
      <c r="P176" s="17"/>
    </row>
    <row r="177" spans="1:16" s="239" customFormat="1" ht="14.15" customHeight="1">
      <c r="A177" s="224"/>
      <c r="B177" s="238"/>
      <c r="C177" s="234" t="s">
        <v>485</v>
      </c>
      <c r="D177" s="21">
        <f>INDEX(Tragwerk!B82:D82,1,MATCH(Eingabe!$C$4,Tragwerk!$B$14:$D$14))</f>
        <v>3</v>
      </c>
      <c r="E177" s="19" t="s">
        <v>7</v>
      </c>
      <c r="F177" s="27"/>
      <c r="G177" s="527" t="s">
        <v>1324</v>
      </c>
      <c r="H177" s="527"/>
      <c r="I177" s="527"/>
      <c r="J177" s="225"/>
      <c r="K177" s="224"/>
      <c r="L177" s="224"/>
      <c r="M177" s="527"/>
      <c r="N177" s="527"/>
      <c r="O177" s="18"/>
      <c r="P177" s="17"/>
    </row>
    <row r="178" spans="1:16" s="239" customFormat="1" ht="14.15" customHeight="1">
      <c r="A178" s="224"/>
      <c r="B178" s="238"/>
      <c r="C178" s="234" t="s">
        <v>488</v>
      </c>
      <c r="D178" s="21">
        <f>Tragwerk!B85</f>
        <v>1.2</v>
      </c>
      <c r="E178" s="19" t="s">
        <v>7</v>
      </c>
      <c r="F178" s="27"/>
      <c r="G178" s="527" t="s">
        <v>1324</v>
      </c>
      <c r="H178" s="527"/>
      <c r="I178" s="527"/>
      <c r="J178" s="225"/>
      <c r="K178" s="224"/>
      <c r="L178" s="224"/>
      <c r="M178" s="527"/>
      <c r="N178" s="527"/>
      <c r="O178" s="18"/>
      <c r="P178" s="17"/>
    </row>
    <row r="179" spans="1:16" s="239" customFormat="1" ht="14.15" customHeight="1">
      <c r="A179" s="224"/>
      <c r="B179" s="238"/>
      <c r="C179" s="234" t="s">
        <v>489</v>
      </c>
      <c r="D179" s="21">
        <f>INDEX(Tragwerk!B86:D86,1,MATCH(Eingabe!$C$4,Tragwerk!$B$14:$D$14))</f>
        <v>264.95599272135092</v>
      </c>
      <c r="E179" s="237" t="s">
        <v>2</v>
      </c>
      <c r="F179" s="27"/>
      <c r="G179" s="527" t="s">
        <v>1324</v>
      </c>
      <c r="H179" s="527"/>
      <c r="I179" s="527"/>
      <c r="J179" s="225"/>
      <c r="K179" s="224"/>
      <c r="L179" s="224"/>
      <c r="M179" s="527"/>
      <c r="N179" s="527"/>
      <c r="O179" s="18"/>
      <c r="P179" s="17"/>
    </row>
    <row r="180" spans="1:16" s="239" customFormat="1" ht="14.15" customHeight="1">
      <c r="A180" s="224"/>
      <c r="B180" s="238"/>
      <c r="C180" s="234" t="s">
        <v>12</v>
      </c>
      <c r="D180" s="21">
        <f>Tragwerk!B87</f>
        <v>1.2</v>
      </c>
      <c r="E180" s="19" t="s">
        <v>7</v>
      </c>
      <c r="F180" s="27"/>
      <c r="G180" s="527" t="s">
        <v>1324</v>
      </c>
      <c r="H180" s="527"/>
      <c r="I180" s="527"/>
      <c r="J180" s="225"/>
      <c r="K180" s="224"/>
      <c r="L180" s="224"/>
      <c r="M180" s="527"/>
      <c r="N180" s="527"/>
      <c r="O180" s="18"/>
      <c r="P180" s="17"/>
    </row>
    <row r="181" spans="1:16" s="239" customFormat="1" ht="14.15" customHeight="1">
      <c r="A181" s="224"/>
      <c r="B181" s="238"/>
      <c r="C181" s="234" t="s">
        <v>507</v>
      </c>
      <c r="D181" s="21">
        <f>INDEX(Tragwerk!B88:D88,1,MATCH(Eingabe!$C$4,Tragwerk!$B$14:$D$14))</f>
        <v>220.79666060112578</v>
      </c>
      <c r="E181" s="237" t="s">
        <v>2</v>
      </c>
      <c r="F181" s="27"/>
      <c r="G181" s="527" t="s">
        <v>73</v>
      </c>
      <c r="H181" s="527"/>
      <c r="I181" s="527"/>
      <c r="J181" s="225"/>
      <c r="K181" s="224"/>
      <c r="L181" s="224"/>
      <c r="M181" s="527"/>
      <c r="N181" s="527"/>
      <c r="O181" s="18"/>
      <c r="P181" s="17"/>
    </row>
    <row r="182" spans="1:16" s="239" customFormat="1" ht="14.15" customHeight="1">
      <c r="A182" s="224"/>
      <c r="B182" s="238"/>
      <c r="C182" s="527" t="s">
        <v>303</v>
      </c>
      <c r="D182" s="21">
        <f>Tragwerk!B91</f>
        <v>54.38821875</v>
      </c>
      <c r="E182" s="237" t="s">
        <v>2</v>
      </c>
      <c r="F182" s="27"/>
      <c r="G182" s="527" t="s">
        <v>75</v>
      </c>
      <c r="H182" s="527"/>
      <c r="I182" s="527"/>
      <c r="J182" s="225"/>
      <c r="K182" s="224"/>
      <c r="L182" s="224"/>
      <c r="M182" s="527"/>
      <c r="N182" s="527"/>
      <c r="O182" s="18"/>
      <c r="P182" s="17"/>
    </row>
    <row r="183" spans="1:16" s="239" customFormat="1" ht="14.15" customHeight="1">
      <c r="A183" s="224"/>
      <c r="B183" s="238"/>
      <c r="C183" s="25" t="s">
        <v>508</v>
      </c>
      <c r="D183" s="26">
        <f>D182/D181</f>
        <v>0.24632717995791414</v>
      </c>
      <c r="E183" s="520" t="s">
        <v>7</v>
      </c>
      <c r="F183" s="27"/>
      <c r="G183" s="24" t="s">
        <v>46</v>
      </c>
      <c r="H183" s="527"/>
      <c r="I183" s="527"/>
      <c r="J183" s="225"/>
      <c r="K183" s="224"/>
      <c r="L183" s="224"/>
      <c r="M183" s="527"/>
      <c r="N183" s="527"/>
      <c r="O183" s="18"/>
      <c r="P183" s="17"/>
    </row>
    <row r="184" spans="1:16" s="239" customFormat="1" ht="5.9" customHeight="1">
      <c r="A184" s="224"/>
      <c r="B184" s="238"/>
      <c r="C184" s="25"/>
      <c r="D184" s="26"/>
      <c r="E184" s="520"/>
      <c r="F184" s="27"/>
      <c r="G184" s="24"/>
      <c r="H184" s="527"/>
      <c r="I184" s="527"/>
      <c r="J184" s="225"/>
      <c r="K184" s="224"/>
      <c r="L184" s="224"/>
      <c r="M184" s="527"/>
      <c r="N184" s="527"/>
      <c r="O184" s="18"/>
      <c r="P184" s="17"/>
    </row>
    <row r="185" spans="1:16" s="239" customFormat="1" ht="14.15" customHeight="1">
      <c r="A185" s="1032" t="s">
        <v>521</v>
      </c>
      <c r="B185" s="1032"/>
      <c r="C185" s="1032"/>
      <c r="D185" s="1032"/>
      <c r="E185" s="1032"/>
      <c r="F185" s="1032"/>
      <c r="G185" s="1032"/>
      <c r="H185" s="1032"/>
      <c r="I185" s="1032"/>
      <c r="J185" s="1032"/>
      <c r="K185" s="520"/>
      <c r="L185" s="224"/>
      <c r="M185" s="527"/>
      <c r="N185" s="527"/>
      <c r="O185" s="18"/>
      <c r="P185" s="17"/>
    </row>
    <row r="186" spans="1:16" s="239" customFormat="1" ht="5.9" customHeight="1">
      <c r="A186" s="520"/>
      <c r="B186" s="520"/>
      <c r="C186" s="520"/>
      <c r="D186" s="520"/>
      <c r="E186" s="520"/>
      <c r="F186" s="520"/>
      <c r="G186" s="520"/>
      <c r="H186" s="520"/>
      <c r="I186" s="520"/>
      <c r="J186" s="520"/>
      <c r="K186" s="520"/>
      <c r="L186" s="224"/>
      <c r="M186" s="527"/>
      <c r="N186" s="527"/>
      <c r="O186" s="18"/>
      <c r="P186" s="17"/>
    </row>
    <row r="187" spans="1:16" s="239" customFormat="1" ht="14.15" customHeight="1">
      <c r="A187" s="224"/>
      <c r="B187" s="238"/>
      <c r="C187" s="23" t="s">
        <v>85</v>
      </c>
      <c r="D187" s="21">
        <f>INDEX(Tragwerk!B96:D96,1,MATCH(Eingabe!$C$4,Tragwerk!$B$14:$D$14))</f>
        <v>7.9260414842648175E-2</v>
      </c>
      <c r="E187" s="19" t="s">
        <v>7</v>
      </c>
      <c r="F187" s="17"/>
      <c r="G187" s="527" t="s">
        <v>515</v>
      </c>
      <c r="H187" s="527"/>
      <c r="I187" s="527"/>
      <c r="J187" s="225"/>
      <c r="K187" s="224"/>
      <c r="L187" s="224"/>
      <c r="M187" s="527"/>
      <c r="N187" s="527"/>
      <c r="O187" s="18"/>
      <c r="P187" s="17"/>
    </row>
    <row r="188" spans="1:16" s="239" customFormat="1" ht="14.15" customHeight="1">
      <c r="A188" s="224"/>
      <c r="B188" s="238"/>
      <c r="C188" s="23" t="s">
        <v>87</v>
      </c>
      <c r="D188" s="21">
        <f>INDEX(Tragwerk!B97:D97,1,MATCH(Eingabe!$C$4,Tragwerk!$B$14:$D$14))</f>
        <v>0.8924738441650697</v>
      </c>
      <c r="E188" s="19" t="s">
        <v>7</v>
      </c>
      <c r="F188" s="17"/>
      <c r="G188" s="527" t="s">
        <v>519</v>
      </c>
      <c r="H188" s="527"/>
      <c r="I188" s="527"/>
      <c r="J188" s="225"/>
      <c r="K188" s="224"/>
      <c r="L188" s="224"/>
      <c r="M188" s="527"/>
      <c r="N188" s="527"/>
      <c r="O188" s="18"/>
      <c r="P188" s="17"/>
    </row>
    <row r="189" spans="1:16" s="239" customFormat="1" ht="1.75" customHeight="1">
      <c r="A189" s="17"/>
      <c r="B189" s="17"/>
      <c r="C189" s="23"/>
      <c r="D189" s="18"/>
      <c r="E189" s="19"/>
      <c r="F189" s="17"/>
      <c r="G189" s="527"/>
      <c r="H189" s="20"/>
      <c r="I189" s="17"/>
      <c r="J189" s="17"/>
      <c r="K189" s="17"/>
      <c r="L189" s="224"/>
      <c r="M189" s="17"/>
    </row>
    <row r="190" spans="1:16" s="239" customFormat="1" ht="14.15" customHeight="1">
      <c r="A190" s="17"/>
      <c r="B190" s="17"/>
      <c r="C190" s="25" t="s">
        <v>549</v>
      </c>
      <c r="D190" s="26">
        <f>INDEX(Tragwerk!B99:D99,1,MATCH(Eingabe!$C$4,Tragwerk!$B$14:$D$14))</f>
        <v>0.80977854917309822</v>
      </c>
      <c r="E190" s="520" t="s">
        <v>7</v>
      </c>
      <c r="F190" s="27"/>
      <c r="G190" s="527" t="s">
        <v>1324</v>
      </c>
      <c r="H190" s="20"/>
      <c r="I190" s="17"/>
      <c r="J190" s="17"/>
      <c r="K190" s="17"/>
      <c r="L190" s="224"/>
      <c r="M190" s="17"/>
    </row>
    <row r="191" spans="1:16" s="239" customFormat="1" ht="5.9" customHeight="1">
      <c r="A191" s="224"/>
      <c r="B191" s="224"/>
      <c r="C191" s="231"/>
      <c r="D191" s="229"/>
      <c r="E191" s="227"/>
      <c r="F191" s="224"/>
      <c r="G191" s="225"/>
      <c r="H191" s="230"/>
      <c r="I191" s="224"/>
      <c r="J191" s="224"/>
      <c r="K191" s="224"/>
      <c r="L191" s="224"/>
      <c r="M191" s="17"/>
    </row>
    <row r="192" spans="1:16" s="239" customFormat="1" ht="14.15" customHeight="1">
      <c r="A192" s="1033" t="s">
        <v>304</v>
      </c>
      <c r="B192" s="1033"/>
      <c r="C192" s="1033"/>
      <c r="D192" s="1033"/>
      <c r="E192" s="1033"/>
      <c r="F192" s="1033"/>
      <c r="G192" s="1033"/>
      <c r="H192" s="1033"/>
      <c r="I192" s="1033"/>
      <c r="J192" s="1033"/>
      <c r="K192" s="502"/>
      <c r="L192" s="224"/>
      <c r="M192" s="17"/>
    </row>
    <row r="193" spans="1:13" s="239" customFormat="1" ht="9.25" customHeight="1">
      <c r="A193" s="4"/>
      <c r="B193" s="240"/>
      <c r="C193" s="240"/>
      <c r="D193" s="240"/>
      <c r="E193" s="240"/>
      <c r="F193" s="240"/>
      <c r="G193" s="240"/>
      <c r="H193" s="240"/>
      <c r="I193" s="240"/>
      <c r="J193" s="240"/>
      <c r="K193" s="4"/>
      <c r="L193" s="224"/>
      <c r="M193" s="17"/>
    </row>
    <row r="194" spans="1:13" s="239" customFormat="1" ht="13" customHeight="1">
      <c r="A194" s="1032" t="s">
        <v>514</v>
      </c>
      <c r="B194" s="1032"/>
      <c r="C194" s="1032"/>
      <c r="D194" s="1032"/>
      <c r="E194" s="1032"/>
      <c r="F194" s="1032"/>
      <c r="G194" s="1032"/>
      <c r="H194" s="1032"/>
      <c r="I194" s="1032"/>
      <c r="J194" s="1032"/>
      <c r="K194" s="520"/>
      <c r="L194" s="224"/>
      <c r="M194" s="17"/>
    </row>
    <row r="195" spans="1:13" s="239" customFormat="1" ht="13" customHeight="1">
      <c r="A195" s="17"/>
      <c r="B195" s="14" t="s">
        <v>1</v>
      </c>
      <c r="C195" s="232"/>
      <c r="D195" s="232"/>
      <c r="E195" s="232"/>
      <c r="F195" s="17"/>
      <c r="G195" s="527"/>
      <c r="H195" s="527"/>
      <c r="I195" s="527"/>
      <c r="J195" s="527"/>
      <c r="K195" s="17"/>
      <c r="L195" s="224"/>
      <c r="M195" s="17"/>
    </row>
    <row r="196" spans="1:13" s="239" customFormat="1" ht="13" customHeight="1">
      <c r="A196" s="17"/>
      <c r="B196" s="17"/>
      <c r="C196" s="527" t="s">
        <v>4</v>
      </c>
      <c r="D196" s="21">
        <f>INDEX(Kappe!B17:D17,1,MATCH(Eingabe!$C$4,Kappe!$B$12:$D$12))</f>
        <v>247</v>
      </c>
      <c r="E196" s="19" t="s">
        <v>2</v>
      </c>
      <c r="F196" s="17"/>
      <c r="G196" s="527" t="s">
        <v>361</v>
      </c>
      <c r="H196" s="527"/>
      <c r="I196" s="527"/>
      <c r="J196" s="527"/>
      <c r="K196" s="17"/>
      <c r="L196" s="224"/>
      <c r="M196" s="17"/>
    </row>
    <row r="197" spans="1:13" s="239" customFormat="1" ht="13" customHeight="1">
      <c r="A197" s="17"/>
      <c r="B197" s="17"/>
      <c r="C197" s="17" t="s">
        <v>3</v>
      </c>
      <c r="D197" s="21">
        <f>Kappe!$B$18</f>
        <v>1.87</v>
      </c>
      <c r="E197" s="19" t="s">
        <v>7</v>
      </c>
      <c r="F197" s="17"/>
      <c r="G197" s="527" t="s">
        <v>359</v>
      </c>
      <c r="H197" s="527"/>
      <c r="I197" s="527"/>
      <c r="J197" s="527"/>
      <c r="K197" s="17"/>
      <c r="L197" s="224"/>
      <c r="M197" s="17"/>
    </row>
    <row r="198" spans="1:13" s="239" customFormat="1" ht="13" customHeight="1">
      <c r="A198" s="17"/>
      <c r="B198" s="17"/>
      <c r="C198" s="527" t="s">
        <v>64</v>
      </c>
      <c r="D198" s="21">
        <f>INDEX(Kappe!B19:D19,1,MATCH(Eingabe!$C$4,Kappe!$B$12:$D$12))</f>
        <v>132.08556149732618</v>
      </c>
      <c r="E198" s="19" t="s">
        <v>2</v>
      </c>
      <c r="F198" s="17"/>
      <c r="G198" s="527" t="s">
        <v>73</v>
      </c>
      <c r="H198" s="527"/>
      <c r="I198" s="527"/>
      <c r="J198" s="527"/>
      <c r="K198" s="17"/>
      <c r="L198" s="224"/>
      <c r="M198" s="17"/>
    </row>
    <row r="199" spans="1:13" s="239" customFormat="1" ht="13" customHeight="1">
      <c r="A199" s="17"/>
      <c r="B199" s="17"/>
      <c r="C199" s="527" t="s">
        <v>302</v>
      </c>
      <c r="D199" s="21">
        <f>Kappe!$B$53</f>
        <v>4.2779482683033754</v>
      </c>
      <c r="E199" s="19" t="s">
        <v>2</v>
      </c>
      <c r="F199" s="17"/>
      <c r="G199" s="527" t="s">
        <v>75</v>
      </c>
      <c r="H199" s="527"/>
      <c r="I199" s="527"/>
      <c r="J199" s="527"/>
      <c r="K199" s="17"/>
      <c r="L199" s="224"/>
      <c r="M199" s="17"/>
    </row>
    <row r="200" spans="1:13" s="239" customFormat="1" ht="13" customHeight="1">
      <c r="A200" s="17"/>
      <c r="B200" s="17"/>
      <c r="C200" s="25" t="s">
        <v>88</v>
      </c>
      <c r="D200" s="26">
        <f>D199/D198</f>
        <v>3.2387705513066044E-2</v>
      </c>
      <c r="E200" s="520" t="s">
        <v>7</v>
      </c>
      <c r="F200" s="27"/>
      <c r="G200" s="24" t="s">
        <v>46</v>
      </c>
      <c r="H200" s="527"/>
      <c r="I200" s="527"/>
      <c r="J200" s="527"/>
      <c r="K200" s="17"/>
      <c r="L200" s="224"/>
      <c r="M200" s="17"/>
    </row>
    <row r="201" spans="1:13" s="239" customFormat="1" ht="5.5" customHeight="1">
      <c r="A201" s="4"/>
      <c r="B201" s="240"/>
      <c r="C201" s="240"/>
      <c r="D201" s="240"/>
      <c r="E201" s="240"/>
      <c r="F201" s="240"/>
      <c r="G201" s="240"/>
      <c r="H201" s="240"/>
      <c r="I201" s="240"/>
      <c r="J201" s="240"/>
      <c r="K201" s="4"/>
      <c r="L201" s="224"/>
      <c r="M201" s="17"/>
    </row>
    <row r="202" spans="1:13" s="239" customFormat="1" ht="13" customHeight="1">
      <c r="A202" s="224"/>
      <c r="B202" s="233" t="s">
        <v>5</v>
      </c>
      <c r="C202" s="19"/>
      <c r="D202" s="19"/>
      <c r="E202" s="17"/>
      <c r="F202" s="17"/>
      <c r="G202" s="527"/>
      <c r="H202" s="527"/>
      <c r="I202" s="527"/>
      <c r="J202" s="225"/>
      <c r="K202" s="224"/>
      <c r="L202" s="224"/>
      <c r="M202" s="17"/>
    </row>
    <row r="203" spans="1:13" s="239" customFormat="1" ht="13" customHeight="1">
      <c r="A203" s="224"/>
      <c r="B203" s="233"/>
      <c r="C203" s="234" t="s">
        <v>115</v>
      </c>
      <c r="D203" s="18">
        <f>INDEX(Kappe!B21:D21,1,MATCH(Eingabe!$C$4,Kappe!$B$12:$D$12))</f>
        <v>565</v>
      </c>
      <c r="E203" s="19" t="s">
        <v>16</v>
      </c>
      <c r="F203" s="17"/>
      <c r="G203" s="527" t="s">
        <v>137</v>
      </c>
      <c r="H203" s="527"/>
      <c r="I203" s="527"/>
      <c r="J203" s="225"/>
      <c r="K203" s="224"/>
      <c r="L203" s="224"/>
      <c r="M203" s="17"/>
    </row>
    <row r="204" spans="1:13" s="239" customFormat="1" ht="13" customHeight="1">
      <c r="A204" s="224"/>
      <c r="B204" s="233"/>
      <c r="C204" s="667" t="s">
        <v>1152</v>
      </c>
      <c r="D204" s="669">
        <f>Eingabe!N3</f>
        <v>1</v>
      </c>
      <c r="E204" s="19" t="s">
        <v>7</v>
      </c>
      <c r="F204" s="17"/>
      <c r="G204" s="527" t="s">
        <v>1151</v>
      </c>
      <c r="H204" s="527"/>
      <c r="I204" s="527"/>
      <c r="J204" s="225"/>
      <c r="K204" s="664"/>
      <c r="L204" s="224"/>
      <c r="M204" s="17"/>
    </row>
    <row r="205" spans="1:13" s="239" customFormat="1" ht="13" customHeight="1">
      <c r="A205" s="224"/>
      <c r="B205" s="233"/>
      <c r="C205" s="234" t="s">
        <v>6</v>
      </c>
      <c r="D205" s="21">
        <f>INDEX(Kappe!B22:D22,1,MATCH(Eingabe!$C$4,Kappe!$B$12:$D$12))</f>
        <v>101.7</v>
      </c>
      <c r="E205" s="19" t="s">
        <v>2</v>
      </c>
      <c r="F205" s="17"/>
      <c r="G205" s="527" t="s">
        <v>1324</v>
      </c>
      <c r="H205" s="527"/>
      <c r="I205" s="527"/>
      <c r="J205" s="225"/>
      <c r="K205" s="224"/>
      <c r="L205" s="224"/>
      <c r="M205" s="17"/>
    </row>
    <row r="206" spans="1:13" s="239" customFormat="1" ht="13" customHeight="1">
      <c r="A206" s="224"/>
      <c r="B206" s="233"/>
      <c r="C206" s="234" t="s">
        <v>108</v>
      </c>
      <c r="D206" s="18">
        <f>Kappe!B23</f>
        <v>1.2</v>
      </c>
      <c r="E206" s="19" t="s">
        <v>7</v>
      </c>
      <c r="F206" s="17"/>
      <c r="G206" s="527" t="s">
        <v>1324</v>
      </c>
      <c r="H206" s="527"/>
      <c r="I206" s="527"/>
      <c r="J206" s="225"/>
      <c r="K206" s="224"/>
      <c r="L206" s="224"/>
      <c r="M206" s="17"/>
    </row>
    <row r="207" spans="1:13" s="239" customFormat="1" ht="13" customHeight="1">
      <c r="A207" s="224"/>
      <c r="B207" s="233"/>
      <c r="C207" s="234" t="s">
        <v>123</v>
      </c>
      <c r="D207" s="21">
        <f>INDEX(Kappe!B24:D24,1,MATCH(Eingabe!$C$4,Kappe!$B$12:$D$12))</f>
        <v>84.75</v>
      </c>
      <c r="E207" s="19" t="s">
        <v>2</v>
      </c>
      <c r="F207" s="17"/>
      <c r="G207" s="527" t="s">
        <v>73</v>
      </c>
      <c r="H207" s="527"/>
      <c r="I207" s="527"/>
      <c r="J207" s="225"/>
      <c r="K207" s="224"/>
      <c r="L207" s="224"/>
      <c r="M207" s="17"/>
    </row>
    <row r="208" spans="1:13" s="239" customFormat="1" ht="13" customHeight="1">
      <c r="A208" s="224"/>
      <c r="B208" s="233"/>
      <c r="C208" s="527" t="s">
        <v>302</v>
      </c>
      <c r="D208" s="21">
        <f>Kappe!$B$53</f>
        <v>4.2779482683033754</v>
      </c>
      <c r="E208" s="19" t="s">
        <v>2</v>
      </c>
      <c r="F208" s="17"/>
      <c r="G208" s="527" t="s">
        <v>75</v>
      </c>
      <c r="H208" s="527"/>
      <c r="I208" s="527"/>
      <c r="J208" s="225"/>
      <c r="K208" s="224"/>
      <c r="L208" s="224"/>
      <c r="M208" s="17"/>
    </row>
    <row r="209" spans="1:13" s="239" customFormat="1" ht="13" customHeight="1">
      <c r="A209" s="224"/>
      <c r="B209" s="233"/>
      <c r="C209" s="25" t="s">
        <v>122</v>
      </c>
      <c r="D209" s="26">
        <f>D208/D207</f>
        <v>5.0477265702694694E-2</v>
      </c>
      <c r="E209" s="520" t="s">
        <v>7</v>
      </c>
      <c r="F209" s="27"/>
      <c r="G209" s="24" t="s">
        <v>46</v>
      </c>
      <c r="H209" s="527"/>
      <c r="I209" s="527"/>
      <c r="J209" s="225"/>
      <c r="K209" s="224"/>
      <c r="L209" s="224"/>
      <c r="M209" s="17"/>
    </row>
    <row r="210" spans="1:13" s="239" customFormat="1" ht="5.5" customHeight="1">
      <c r="A210" s="228"/>
      <c r="B210" s="240"/>
      <c r="C210" s="240"/>
      <c r="D210" s="240"/>
      <c r="E210" s="240"/>
      <c r="F210" s="240"/>
      <c r="G210" s="240"/>
      <c r="H210" s="240"/>
      <c r="I210" s="240"/>
      <c r="J210" s="242"/>
      <c r="K210" s="228"/>
      <c r="L210" s="224"/>
      <c r="M210" s="17"/>
    </row>
    <row r="211" spans="1:13" s="239" customFormat="1" ht="13" customHeight="1">
      <c r="A211" s="224"/>
      <c r="B211" s="233" t="s">
        <v>8</v>
      </c>
      <c r="C211" s="19"/>
      <c r="D211" s="19"/>
      <c r="E211" s="17"/>
      <c r="F211" s="17"/>
      <c r="G211" s="527"/>
      <c r="H211" s="527"/>
      <c r="I211" s="527"/>
      <c r="J211" s="225"/>
      <c r="K211" s="224"/>
      <c r="L211" s="224"/>
      <c r="M211" s="17"/>
    </row>
    <row r="212" spans="1:13" s="239" customFormat="1" ht="13" customHeight="1">
      <c r="A212" s="224"/>
      <c r="B212" s="17"/>
      <c r="C212" s="527" t="s">
        <v>78</v>
      </c>
      <c r="D212" s="21">
        <f>INDEX(Kappe!B27:D27,1,MATCH(Eingabe!$C$4,Kappe!$B$12:$D$12))</f>
        <v>30.846077222233625</v>
      </c>
      <c r="E212" s="19" t="s">
        <v>2</v>
      </c>
      <c r="F212" s="17"/>
      <c r="G212" s="527" t="s">
        <v>1324</v>
      </c>
      <c r="H212" s="527"/>
      <c r="I212" s="527"/>
      <c r="J212" s="225"/>
      <c r="K212" s="224"/>
      <c r="L212" s="224"/>
      <c r="M212" s="17"/>
    </row>
    <row r="213" spans="1:13" s="239" customFormat="1" ht="13" customHeight="1">
      <c r="A213" s="224"/>
      <c r="B213" s="17"/>
      <c r="C213" s="527" t="s">
        <v>79</v>
      </c>
      <c r="D213" s="20">
        <f>INDEX(Kappe!B28:D28,1,MATCH(Eingabe!$C$4,Kappe!$B$12:$D$12))</f>
        <v>51984</v>
      </c>
      <c r="E213" s="19" t="s">
        <v>16</v>
      </c>
      <c r="F213" s="17"/>
      <c r="G213" s="527" t="s">
        <v>1324</v>
      </c>
      <c r="H213" s="527"/>
      <c r="I213" s="527"/>
      <c r="J213" s="225"/>
      <c r="K213" s="224"/>
      <c r="L213" s="224"/>
      <c r="M213" s="17"/>
    </row>
    <row r="214" spans="1:13" s="239" customFormat="1" ht="13" customHeight="1">
      <c r="A214" s="224"/>
      <c r="B214" s="17"/>
      <c r="C214" s="527" t="s">
        <v>80</v>
      </c>
      <c r="D214" s="20">
        <f>INDEX(Kappe!B29:D29,1,MATCH(Eingabe!$C$4,Kappe!$B$12:$D$12))</f>
        <v>69168</v>
      </c>
      <c r="E214" s="19" t="s">
        <v>16</v>
      </c>
      <c r="F214" s="17"/>
      <c r="G214" s="527" t="s">
        <v>1324</v>
      </c>
      <c r="H214" s="527"/>
      <c r="I214" s="527"/>
      <c r="J214" s="225"/>
      <c r="K214" s="224"/>
      <c r="L214" s="224"/>
      <c r="M214" s="17"/>
    </row>
    <row r="215" spans="1:13" s="239" customFormat="1" ht="13" customHeight="1">
      <c r="A215" s="224"/>
      <c r="B215" s="17"/>
      <c r="C215" s="527" t="s">
        <v>10</v>
      </c>
      <c r="D215" s="18">
        <f>Kappe!$B$26</f>
        <v>8.5</v>
      </c>
      <c r="E215" s="19" t="s">
        <v>7</v>
      </c>
      <c r="F215" s="17"/>
      <c r="G215" s="527" t="s">
        <v>1324</v>
      </c>
      <c r="H215" s="527"/>
      <c r="I215" s="527"/>
      <c r="J215" s="225"/>
      <c r="K215" s="224"/>
      <c r="L215" s="224"/>
      <c r="M215" s="17"/>
    </row>
    <row r="216" spans="1:13" s="239" customFormat="1" ht="13" customHeight="1">
      <c r="A216" s="224"/>
      <c r="B216" s="17"/>
      <c r="C216" s="23" t="s">
        <v>81</v>
      </c>
      <c r="D216" s="21">
        <f>INDEX(Kappe!B30:D30,1,MATCH(Eingabe!$C$4,Kappe!$B$12:$D$12))</f>
        <v>1</v>
      </c>
      <c r="E216" s="19" t="s">
        <v>7</v>
      </c>
      <c r="F216" s="17"/>
      <c r="G216" s="527" t="s">
        <v>1324</v>
      </c>
      <c r="H216" s="527"/>
      <c r="I216" s="527"/>
      <c r="J216" s="225"/>
      <c r="K216" s="224"/>
      <c r="L216" s="224"/>
      <c r="M216" s="17"/>
    </row>
    <row r="217" spans="1:13" s="239" customFormat="1" ht="13" customHeight="1">
      <c r="A217" s="224"/>
      <c r="B217" s="17"/>
      <c r="C217" s="23" t="s">
        <v>82</v>
      </c>
      <c r="D217" s="21">
        <f>INDEX(Kappe!B31:D31,1,MATCH(Eingabe!$C$4,Kappe!$B$12:$D$12))</f>
        <v>1</v>
      </c>
      <c r="E217" s="19" t="s">
        <v>7</v>
      </c>
      <c r="F217" s="17"/>
      <c r="G217" s="527" t="s">
        <v>1324</v>
      </c>
      <c r="H217" s="527"/>
      <c r="I217" s="527"/>
      <c r="J217" s="225"/>
      <c r="K217" s="224"/>
      <c r="L217" s="224"/>
      <c r="M217" s="17"/>
    </row>
    <row r="218" spans="1:13" s="239" customFormat="1" ht="13" customHeight="1">
      <c r="A218" s="224"/>
      <c r="B218" s="17"/>
      <c r="C218" s="23" t="s">
        <v>83</v>
      </c>
      <c r="D218" s="21">
        <f>INDEX(Kappe!B32:D32,1,MATCH(Eingabe!$C$4,Kappe!$B$12:$D$12))</f>
        <v>1</v>
      </c>
      <c r="E218" s="19" t="s">
        <v>7</v>
      </c>
      <c r="F218" s="17"/>
      <c r="G218" s="527" t="s">
        <v>1324</v>
      </c>
      <c r="H218" s="527"/>
      <c r="I218" s="527"/>
      <c r="J218" s="225"/>
      <c r="K218" s="224"/>
      <c r="L218" s="224"/>
      <c r="M218" s="17"/>
    </row>
    <row r="219" spans="1:13" s="239" customFormat="1" ht="13" customHeight="1">
      <c r="A219" s="224"/>
      <c r="B219" s="17"/>
      <c r="C219" s="23" t="s">
        <v>84</v>
      </c>
      <c r="D219" s="21">
        <f>INDEX(Kappe!B33:D33,1,MATCH(Eingabe!$C$4,Kappe!$B$12:$D$12))</f>
        <v>1</v>
      </c>
      <c r="E219" s="19" t="s">
        <v>7</v>
      </c>
      <c r="F219" s="17"/>
      <c r="G219" s="527" t="s">
        <v>1324</v>
      </c>
      <c r="H219" s="527"/>
      <c r="I219" s="527"/>
      <c r="J219" s="225"/>
      <c r="K219" s="224"/>
      <c r="L219" s="224"/>
      <c r="M219" s="17"/>
    </row>
    <row r="220" spans="1:13" s="239" customFormat="1" ht="13" customHeight="1">
      <c r="A220" s="224"/>
      <c r="B220" s="17"/>
      <c r="C220" s="668" t="s">
        <v>1152</v>
      </c>
      <c r="D220" s="669">
        <f>Eingabe!N3</f>
        <v>1</v>
      </c>
      <c r="E220" s="19" t="s">
        <v>7</v>
      </c>
      <c r="F220" s="217"/>
      <c r="G220" s="527" t="s">
        <v>1151</v>
      </c>
      <c r="H220" s="527"/>
      <c r="I220" s="527"/>
      <c r="J220" s="225"/>
      <c r="K220" s="224"/>
      <c r="L220" s="224"/>
      <c r="M220" s="17"/>
    </row>
    <row r="221" spans="1:13" s="239" customFormat="1" ht="13" customHeight="1">
      <c r="A221" s="224"/>
      <c r="B221" s="17"/>
      <c r="C221" s="527" t="s">
        <v>77</v>
      </c>
      <c r="D221" s="21">
        <f>INDEX(Kappe!B34:D34,1,MATCH(Eingabe!$C$4,Kappe!$B$12:$D$12))</f>
        <v>41.042656765686658</v>
      </c>
      <c r="E221" s="19" t="s">
        <v>2</v>
      </c>
      <c r="F221" s="17"/>
      <c r="G221" s="527" t="s">
        <v>1324</v>
      </c>
      <c r="H221" s="527"/>
      <c r="I221" s="527"/>
      <c r="J221" s="225"/>
      <c r="K221" s="224"/>
      <c r="L221" s="224"/>
      <c r="M221" s="17"/>
    </row>
    <row r="222" spans="1:13" s="239" customFormat="1" ht="13" customHeight="1">
      <c r="A222" s="224"/>
      <c r="B222" s="17"/>
      <c r="C222" s="17" t="s">
        <v>12</v>
      </c>
      <c r="D222" s="21">
        <f>Kappe!$B$35</f>
        <v>1.2</v>
      </c>
      <c r="E222" s="19" t="s">
        <v>7</v>
      </c>
      <c r="F222" s="17"/>
      <c r="G222" s="527" t="s">
        <v>1324</v>
      </c>
      <c r="H222" s="527"/>
      <c r="I222" s="527"/>
      <c r="J222" s="225"/>
      <c r="K222" s="224"/>
      <c r="L222" s="224"/>
      <c r="M222" s="17"/>
    </row>
    <row r="223" spans="1:13" s="239" customFormat="1" ht="13" customHeight="1">
      <c r="A223" s="224"/>
      <c r="B223" s="17"/>
      <c r="C223" s="527" t="s">
        <v>71</v>
      </c>
      <c r="D223" s="21">
        <f>INDEX(Kappe!B36:D36,1,MATCH(Eingabe!$C$4,Kappe!$B$12:$D$12))</f>
        <v>34.202213971405548</v>
      </c>
      <c r="E223" s="19" t="s">
        <v>2</v>
      </c>
      <c r="F223" s="17"/>
      <c r="G223" s="527" t="s">
        <v>73</v>
      </c>
      <c r="H223" s="527"/>
      <c r="I223" s="527"/>
      <c r="J223" s="225"/>
      <c r="K223" s="224"/>
      <c r="L223" s="224"/>
      <c r="M223" s="17"/>
    </row>
    <row r="224" spans="1:13" s="239" customFormat="1" ht="13" customHeight="1">
      <c r="A224" s="224"/>
      <c r="B224" s="17"/>
      <c r="C224" s="527" t="s">
        <v>302</v>
      </c>
      <c r="D224" s="21">
        <f>Kappe!$B$53</f>
        <v>4.2779482683033754</v>
      </c>
      <c r="E224" s="19" t="s">
        <v>2</v>
      </c>
      <c r="F224" s="17"/>
      <c r="G224" s="527" t="s">
        <v>75</v>
      </c>
      <c r="H224" s="527"/>
      <c r="I224" s="527"/>
      <c r="J224" s="225"/>
      <c r="K224" s="224"/>
      <c r="L224" s="224"/>
      <c r="M224" s="17"/>
    </row>
    <row r="225" spans="1:13" s="239" customFormat="1" ht="13" customHeight="1">
      <c r="A225" s="224"/>
      <c r="B225" s="17"/>
      <c r="C225" s="25" t="s">
        <v>89</v>
      </c>
      <c r="D225" s="26">
        <f>D224/D223</f>
        <v>0.12507810961828131</v>
      </c>
      <c r="E225" s="520" t="s">
        <v>7</v>
      </c>
      <c r="F225" s="27"/>
      <c r="G225" s="24" t="s">
        <v>46</v>
      </c>
      <c r="H225" s="527"/>
      <c r="I225" s="527"/>
      <c r="J225" s="225"/>
      <c r="K225" s="224"/>
      <c r="L225" s="224"/>
      <c r="M225" s="17"/>
    </row>
    <row r="226" spans="1:13" s="239" customFormat="1" ht="5.5" customHeight="1">
      <c r="A226" s="224"/>
      <c r="B226" s="17"/>
      <c r="C226" s="25"/>
      <c r="D226" s="26"/>
      <c r="E226" s="520"/>
      <c r="F226" s="27"/>
      <c r="G226" s="24"/>
      <c r="H226" s="527"/>
      <c r="I226" s="527"/>
      <c r="J226" s="225"/>
      <c r="K226" s="224"/>
      <c r="L226" s="224"/>
      <c r="M226" s="17"/>
    </row>
    <row r="227" spans="1:13" s="239" customFormat="1" ht="13" customHeight="1">
      <c r="A227" s="1032" t="s">
        <v>513</v>
      </c>
      <c r="B227" s="1032"/>
      <c r="C227" s="1032"/>
      <c r="D227" s="1032"/>
      <c r="E227" s="1032"/>
      <c r="F227" s="1032"/>
      <c r="G227" s="1032"/>
      <c r="H227" s="1032"/>
      <c r="I227" s="1032"/>
      <c r="J227" s="1032"/>
      <c r="K227" s="520"/>
      <c r="L227" s="224"/>
      <c r="M227" s="17"/>
    </row>
    <row r="228" spans="1:13" s="239" customFormat="1" ht="13" customHeight="1">
      <c r="A228" s="224"/>
      <c r="B228" s="235" t="s">
        <v>120</v>
      </c>
      <c r="C228" s="25"/>
      <c r="D228" s="26"/>
      <c r="E228" s="520"/>
      <c r="F228" s="27"/>
      <c r="G228" s="24"/>
      <c r="H228" s="527"/>
      <c r="I228" s="527"/>
      <c r="J228" s="225"/>
      <c r="K228" s="224"/>
      <c r="L228" s="224"/>
      <c r="M228" s="17"/>
    </row>
    <row r="229" spans="1:13" s="239" customFormat="1" ht="13" customHeight="1">
      <c r="A229" s="224"/>
      <c r="B229" s="17"/>
      <c r="C229" s="527" t="s">
        <v>118</v>
      </c>
      <c r="D229" s="21">
        <f>INDEX(Kappe!B58:D58,1,MATCH(Eingabe!$C$4,Kappe!$B$12:$D$12))</f>
        <v>760.54326346673008</v>
      </c>
      <c r="E229" s="19" t="s">
        <v>119</v>
      </c>
      <c r="F229" s="17"/>
      <c r="G229" s="527" t="s">
        <v>362</v>
      </c>
      <c r="H229" s="527"/>
      <c r="I229" s="527"/>
      <c r="J229" s="225"/>
      <c r="K229" s="224"/>
      <c r="L229" s="224"/>
      <c r="M229" s="17"/>
    </row>
    <row r="230" spans="1:13" s="239" customFormat="1" ht="13" customHeight="1">
      <c r="A230" s="224"/>
      <c r="B230" s="17"/>
      <c r="C230" s="17" t="s">
        <v>3</v>
      </c>
      <c r="D230" s="21">
        <f>Kappe!$B$59</f>
        <v>1.56</v>
      </c>
      <c r="E230" s="19" t="s">
        <v>7</v>
      </c>
      <c r="F230" s="17"/>
      <c r="G230" s="527" t="s">
        <v>359</v>
      </c>
      <c r="H230" s="527"/>
      <c r="I230" s="527"/>
      <c r="J230" s="225"/>
      <c r="K230" s="224"/>
      <c r="L230" s="224"/>
      <c r="M230" s="17"/>
    </row>
    <row r="231" spans="1:13" s="239" customFormat="1" ht="13" customHeight="1">
      <c r="A231" s="224"/>
      <c r="B231" s="17"/>
      <c r="C231" s="527" t="s">
        <v>65</v>
      </c>
      <c r="D231" s="21">
        <f>INDEX(Kappe!B60:D60,1,MATCH(Eingabe!$C$4,Kappe!$B$12:$D$12))</f>
        <v>30.470483311968351</v>
      </c>
      <c r="E231" s="19" t="s">
        <v>2</v>
      </c>
      <c r="F231" s="17"/>
      <c r="G231" s="527" t="s">
        <v>73</v>
      </c>
      <c r="H231" s="527"/>
      <c r="I231" s="527"/>
      <c r="J231" s="225"/>
      <c r="K231" s="224"/>
      <c r="L231" s="224"/>
      <c r="M231" s="17"/>
    </row>
    <row r="232" spans="1:13" s="239" customFormat="1" ht="13" customHeight="1">
      <c r="A232" s="224"/>
      <c r="B232" s="17"/>
      <c r="C232" s="527" t="s">
        <v>303</v>
      </c>
      <c r="D232" s="21">
        <f>Kappe!$B$61</f>
        <v>27.194109375</v>
      </c>
      <c r="E232" s="19" t="s">
        <v>2</v>
      </c>
      <c r="F232" s="17"/>
      <c r="G232" s="527" t="s">
        <v>75</v>
      </c>
      <c r="H232" s="527"/>
      <c r="I232" s="527"/>
      <c r="J232" s="225"/>
      <c r="K232" s="224"/>
      <c r="L232" s="224"/>
      <c r="M232" s="17"/>
    </row>
    <row r="233" spans="1:13" s="239" customFormat="1" ht="13" customHeight="1">
      <c r="A233" s="224"/>
      <c r="B233" s="17"/>
      <c r="C233" s="25" t="s">
        <v>90</v>
      </c>
      <c r="D233" s="26">
        <f>D232/D231</f>
        <v>0.8924738441650697</v>
      </c>
      <c r="E233" s="520" t="s">
        <v>7</v>
      </c>
      <c r="F233" s="27"/>
      <c r="G233" s="24" t="s">
        <v>46</v>
      </c>
      <c r="H233" s="527"/>
      <c r="I233" s="527"/>
      <c r="J233" s="225"/>
      <c r="K233" s="224"/>
      <c r="L233" s="224"/>
      <c r="M233" s="17"/>
    </row>
    <row r="234" spans="1:13" s="239" customFormat="1" ht="5.5" customHeight="1">
      <c r="A234" s="224"/>
      <c r="B234" s="17"/>
      <c r="C234" s="25"/>
      <c r="D234" s="26"/>
      <c r="E234" s="520"/>
      <c r="F234" s="27"/>
      <c r="G234" s="24"/>
      <c r="H234" s="527"/>
      <c r="I234" s="527"/>
      <c r="J234" s="225"/>
      <c r="K234" s="224"/>
      <c r="L234" s="224"/>
      <c r="M234" s="17"/>
    </row>
    <row r="235" spans="1:13" s="239" customFormat="1" ht="13" customHeight="1">
      <c r="A235" s="224"/>
      <c r="B235" s="238" t="s">
        <v>9</v>
      </c>
      <c r="C235" s="25"/>
      <c r="D235" s="26"/>
      <c r="E235" s="520"/>
      <c r="F235" s="27"/>
      <c r="G235" s="24"/>
      <c r="H235" s="527"/>
      <c r="I235" s="527"/>
      <c r="J235" s="225"/>
      <c r="K235" s="224"/>
      <c r="L235" s="224"/>
      <c r="M235" s="17"/>
    </row>
    <row r="236" spans="1:13" s="239" customFormat="1" ht="13" customHeight="1">
      <c r="A236" s="224"/>
      <c r="B236" s="17"/>
      <c r="C236" s="4" t="s">
        <v>10</v>
      </c>
      <c r="D236" s="21">
        <f>Kappe!$B$64</f>
        <v>2</v>
      </c>
      <c r="E236" s="19" t="s">
        <v>7</v>
      </c>
      <c r="F236" s="17"/>
      <c r="G236" s="527" t="s">
        <v>1324</v>
      </c>
      <c r="H236" s="527"/>
      <c r="I236" s="527"/>
      <c r="J236" s="225"/>
      <c r="K236" s="224"/>
      <c r="L236" s="224"/>
      <c r="M236" s="17"/>
    </row>
    <row r="237" spans="1:13" s="239" customFormat="1" ht="13" customHeight="1">
      <c r="A237" s="224"/>
      <c r="B237" s="17"/>
      <c r="C237" s="527" t="s">
        <v>18</v>
      </c>
      <c r="D237" s="21">
        <f>INDEX(Kappe!B65:D65,1,MATCH(Eingabe!$C$4,Kappe!$B$12:$D$12))</f>
        <v>82.085313531373316</v>
      </c>
      <c r="E237" s="237" t="s">
        <v>2</v>
      </c>
      <c r="F237" s="17"/>
      <c r="G237" s="527" t="s">
        <v>1324</v>
      </c>
      <c r="H237" s="527"/>
      <c r="I237" s="527"/>
      <c r="J237" s="225"/>
      <c r="K237" s="224"/>
      <c r="L237" s="224"/>
      <c r="M237" s="17"/>
    </row>
    <row r="238" spans="1:13" s="239" customFormat="1" ht="13" customHeight="1">
      <c r="A238" s="224"/>
      <c r="B238" s="17"/>
      <c r="C238" s="17" t="s">
        <v>12</v>
      </c>
      <c r="D238" s="21">
        <f>Kappe!$B$66</f>
        <v>1.2</v>
      </c>
      <c r="E238" s="19" t="s">
        <v>7</v>
      </c>
      <c r="F238" s="17"/>
      <c r="G238" s="527" t="s">
        <v>1324</v>
      </c>
      <c r="H238" s="527"/>
      <c r="I238" s="527"/>
      <c r="J238" s="225"/>
      <c r="K238" s="224"/>
      <c r="L238" s="224"/>
      <c r="M238" s="17"/>
    </row>
    <row r="239" spans="1:13" s="239" customFormat="1" ht="13" customHeight="1">
      <c r="A239" s="224"/>
      <c r="B239" s="17"/>
      <c r="C239" s="17" t="s">
        <v>72</v>
      </c>
      <c r="D239" s="21">
        <f>INDEX(Kappe!B67:D67,1,MATCH(Eingabe!$C$4,Kappe!$B$12:$D$12))</f>
        <v>68.404427942811097</v>
      </c>
      <c r="E239" s="19" t="s">
        <v>2</v>
      </c>
      <c r="F239" s="17"/>
      <c r="G239" s="527" t="s">
        <v>73</v>
      </c>
      <c r="H239" s="527"/>
      <c r="I239" s="527"/>
      <c r="J239" s="225"/>
      <c r="K239" s="224"/>
      <c r="L239" s="224"/>
      <c r="M239" s="17"/>
    </row>
    <row r="240" spans="1:13" s="239" customFormat="1" ht="13" customHeight="1">
      <c r="A240" s="224"/>
      <c r="B240" s="17"/>
      <c r="C240" s="527" t="s">
        <v>303</v>
      </c>
      <c r="D240" s="21">
        <f>Kappe!$B$84</f>
        <v>27.194109375</v>
      </c>
      <c r="E240" s="19" t="s">
        <v>2</v>
      </c>
      <c r="F240" s="17"/>
      <c r="G240" s="527" t="s">
        <v>75</v>
      </c>
      <c r="H240" s="527"/>
      <c r="I240" s="527"/>
      <c r="J240" s="225"/>
      <c r="K240" s="224"/>
      <c r="L240" s="224"/>
      <c r="M240" s="17"/>
    </row>
    <row r="241" spans="1:13" s="239" customFormat="1" ht="13" customHeight="1">
      <c r="A241" s="224"/>
      <c r="B241" s="17"/>
      <c r="C241" s="25" t="s">
        <v>91</v>
      </c>
      <c r="D241" s="26">
        <f>D240/D239</f>
        <v>0.39754896273287144</v>
      </c>
      <c r="E241" s="520" t="s">
        <v>7</v>
      </c>
      <c r="F241" s="27"/>
      <c r="G241" s="24" t="s">
        <v>46</v>
      </c>
      <c r="H241" s="527"/>
      <c r="I241" s="527"/>
      <c r="J241" s="225"/>
      <c r="K241" s="224"/>
      <c r="L241" s="224"/>
      <c r="M241" s="17"/>
    </row>
    <row r="242" spans="1:13" s="239" customFormat="1" ht="5.5" customHeight="1">
      <c r="A242" s="224"/>
      <c r="B242" s="17"/>
      <c r="C242" s="25"/>
      <c r="D242" s="26"/>
      <c r="E242" s="520"/>
      <c r="F242" s="27"/>
      <c r="G242" s="24"/>
      <c r="H242" s="527"/>
      <c r="I242" s="527"/>
      <c r="J242" s="225"/>
      <c r="K242" s="224"/>
      <c r="L242" s="224"/>
      <c r="M242" s="17"/>
    </row>
    <row r="243" spans="1:13" s="239" customFormat="1" ht="13" customHeight="1">
      <c r="A243" s="1034" t="s">
        <v>521</v>
      </c>
      <c r="B243" s="1034"/>
      <c r="C243" s="1034"/>
      <c r="D243" s="1034"/>
      <c r="E243" s="1034"/>
      <c r="F243" s="1034"/>
      <c r="G243" s="1034"/>
      <c r="H243" s="1034"/>
      <c r="I243" s="1034"/>
      <c r="J243" s="1034"/>
      <c r="K243" s="224"/>
      <c r="L243" s="224"/>
      <c r="M243" s="17"/>
    </row>
    <row r="244" spans="1:13" s="239" customFormat="1" ht="5.5" customHeight="1">
      <c r="A244" s="224"/>
      <c r="B244" s="17"/>
      <c r="C244" s="25"/>
      <c r="D244" s="26"/>
      <c r="E244" s="520"/>
      <c r="F244" s="27"/>
      <c r="G244" s="24"/>
      <c r="H244" s="527"/>
      <c r="I244" s="527"/>
      <c r="J244" s="225"/>
      <c r="K244" s="224"/>
      <c r="L244" s="224"/>
      <c r="M244" s="17"/>
    </row>
    <row r="245" spans="1:13" s="239" customFormat="1" ht="13" customHeight="1">
      <c r="A245" s="224"/>
      <c r="B245" s="17"/>
      <c r="C245" s="23" t="s">
        <v>85</v>
      </c>
      <c r="D245" s="21">
        <f>INDEX(Kappe!B89:D89,1,MATCH(Eingabe!$C$4,Kappe!$B$12:$D$12))</f>
        <v>0.12507810961828131</v>
      </c>
      <c r="E245" s="19" t="s">
        <v>7</v>
      </c>
      <c r="F245" s="17"/>
      <c r="G245" s="527" t="s">
        <v>515</v>
      </c>
      <c r="H245" s="527"/>
      <c r="I245" s="527"/>
      <c r="J245" s="225"/>
      <c r="K245" s="224"/>
      <c r="L245" s="224"/>
      <c r="M245" s="17"/>
    </row>
    <row r="246" spans="1:13" s="239" customFormat="1" ht="13" customHeight="1">
      <c r="A246" s="224"/>
      <c r="B246" s="17"/>
      <c r="C246" s="23" t="s">
        <v>87</v>
      </c>
      <c r="D246" s="21">
        <f>INDEX(Kappe!B90:D90,1,MATCH(Eingabe!$C$4,Kappe!$B$12:$D$12))</f>
        <v>0.8924738441650697</v>
      </c>
      <c r="E246" s="19" t="s">
        <v>7</v>
      </c>
      <c r="F246" s="17"/>
      <c r="G246" s="527" t="s">
        <v>519</v>
      </c>
      <c r="H246" s="527"/>
      <c r="I246" s="527"/>
      <c r="J246" s="225"/>
      <c r="K246" s="224"/>
      <c r="L246" s="224"/>
      <c r="M246" s="17"/>
    </row>
    <row r="247" spans="1:13" s="239" customFormat="1" ht="2.2999999999999998" customHeight="1">
      <c r="A247" s="224"/>
      <c r="B247" s="17"/>
      <c r="C247" s="23"/>
      <c r="D247" s="18"/>
      <c r="E247" s="19"/>
      <c r="F247" s="17"/>
      <c r="G247" s="527"/>
      <c r="H247" s="20"/>
      <c r="I247" s="17"/>
      <c r="J247" s="17"/>
      <c r="K247" s="17"/>
      <c r="L247" s="17"/>
      <c r="M247" s="17"/>
    </row>
    <row r="248" spans="1:13" s="239" customFormat="1" ht="13" customHeight="1">
      <c r="A248" s="224"/>
      <c r="B248" s="17"/>
      <c r="C248" s="25" t="s">
        <v>549</v>
      </c>
      <c r="D248" s="26">
        <f>INDEX(Kappe!B92:D92,1,MATCH(Eingabe!$C$4,Kappe!$B$12:$D$12))</f>
        <v>0.84795996148612596</v>
      </c>
      <c r="E248" s="520" t="s">
        <v>7</v>
      </c>
      <c r="F248" s="27"/>
      <c r="G248" s="24" t="s">
        <v>1324</v>
      </c>
      <c r="H248" s="20"/>
      <c r="I248" s="17"/>
      <c r="J248" s="17"/>
      <c r="K248" s="17"/>
      <c r="L248" s="17"/>
      <c r="M248" s="17"/>
    </row>
    <row r="249" spans="1:13" s="239" customFormat="1" ht="5.5" customHeight="1">
      <c r="A249" s="224"/>
      <c r="B249" s="17"/>
      <c r="C249" s="23"/>
      <c r="D249" s="21"/>
      <c r="E249" s="19"/>
      <c r="F249" s="17"/>
      <c r="G249" s="17"/>
      <c r="H249" s="20"/>
      <c r="I249" s="17"/>
      <c r="J249" s="17"/>
      <c r="K249" s="17"/>
      <c r="L249" s="17"/>
      <c r="M249" s="17"/>
    </row>
    <row r="250" spans="1:13" s="239" customFormat="1" ht="14.15" customHeight="1">
      <c r="A250" s="1033" t="s">
        <v>1157</v>
      </c>
      <c r="B250" s="1033"/>
      <c r="C250" s="1033"/>
      <c r="D250" s="1033"/>
      <c r="E250" s="1033"/>
      <c r="F250" s="1033"/>
      <c r="G250" s="1033"/>
      <c r="H250" s="1033"/>
      <c r="I250" s="1033"/>
      <c r="J250" s="1033"/>
      <c r="K250" s="502"/>
      <c r="L250" s="224"/>
      <c r="M250" s="17"/>
    </row>
    <row r="251" spans="1:13" s="239" customFormat="1" ht="5.5" customHeight="1">
      <c r="A251" s="228"/>
      <c r="B251" s="242"/>
      <c r="C251" s="242"/>
      <c r="D251" s="242"/>
      <c r="E251" s="242"/>
      <c r="F251" s="242"/>
      <c r="G251" s="242"/>
      <c r="H251" s="242"/>
      <c r="I251" s="242"/>
      <c r="J251" s="242"/>
      <c r="K251" s="228"/>
      <c r="L251" s="224"/>
      <c r="M251" s="17"/>
    </row>
    <row r="252" spans="1:13" s="239" customFormat="1" ht="13" customHeight="1">
      <c r="A252" s="1032" t="s">
        <v>514</v>
      </c>
      <c r="B252" s="1032"/>
      <c r="C252" s="1032"/>
      <c r="D252" s="1032"/>
      <c r="E252" s="1032"/>
      <c r="F252" s="1032"/>
      <c r="G252" s="1032"/>
      <c r="H252" s="1032"/>
      <c r="I252" s="1032"/>
      <c r="J252" s="1032"/>
      <c r="K252" s="520"/>
      <c r="L252" s="224"/>
      <c r="M252" s="17"/>
    </row>
    <row r="253" spans="1:13" s="239" customFormat="1" ht="13" customHeight="1">
      <c r="A253" s="17"/>
      <c r="B253" s="14" t="s">
        <v>1</v>
      </c>
      <c r="C253" s="232"/>
      <c r="D253" s="232"/>
      <c r="E253" s="232"/>
      <c r="F253" s="17"/>
      <c r="G253" s="527"/>
      <c r="H253" s="527"/>
      <c r="I253" s="527"/>
      <c r="J253" s="527"/>
      <c r="K253" s="17"/>
      <c r="L253" s="224"/>
      <c r="M253" s="17"/>
    </row>
    <row r="254" spans="1:13" s="239" customFormat="1" ht="13" customHeight="1">
      <c r="A254" s="17"/>
      <c r="B254" s="17"/>
      <c r="C254" s="527" t="s">
        <v>4</v>
      </c>
      <c r="D254" s="21">
        <f>INDEX(Tragwerk!G23:I23,1,MATCH(Eingabe!$C$4,Tragwerk!$G$14:$I$14))</f>
        <v>247</v>
      </c>
      <c r="E254" s="19" t="s">
        <v>2</v>
      </c>
      <c r="F254" s="17"/>
      <c r="G254" s="527" t="s">
        <v>361</v>
      </c>
      <c r="H254" s="527"/>
      <c r="I254" s="527"/>
      <c r="J254" s="527"/>
      <c r="K254" s="17"/>
      <c r="L254" s="224"/>
      <c r="M254" s="17"/>
    </row>
    <row r="255" spans="1:13" s="239" customFormat="1" ht="13" customHeight="1">
      <c r="A255" s="17"/>
      <c r="B255" s="17"/>
      <c r="C255" s="17" t="s">
        <v>3</v>
      </c>
      <c r="D255" s="21">
        <f>Tragwerk!$G$24</f>
        <v>1.87</v>
      </c>
      <c r="E255" s="19" t="s">
        <v>7</v>
      </c>
      <c r="F255" s="17"/>
      <c r="G255" s="527" t="s">
        <v>359</v>
      </c>
      <c r="H255" s="527"/>
      <c r="I255" s="527"/>
      <c r="J255" s="527"/>
      <c r="K255" s="17"/>
      <c r="L255" s="224"/>
      <c r="M255" s="17"/>
    </row>
    <row r="256" spans="1:13" s="239" customFormat="1" ht="13" customHeight="1">
      <c r="A256" s="17"/>
      <c r="B256" s="17"/>
      <c r="C256" s="527" t="s">
        <v>64</v>
      </c>
      <c r="D256" s="21">
        <f>INDEX(Tragwerk!G25:I25,1,MATCH(Eingabe!$C$4,Tragwerk!$G$14:$I$14))</f>
        <v>132.08556149732618</v>
      </c>
      <c r="E256" s="19" t="s">
        <v>2</v>
      </c>
      <c r="F256" s="17"/>
      <c r="G256" s="527" t="s">
        <v>73</v>
      </c>
      <c r="H256" s="527"/>
      <c r="I256" s="527"/>
      <c r="J256" s="527"/>
      <c r="K256" s="17"/>
      <c r="L256" s="224"/>
      <c r="M256" s="17"/>
    </row>
    <row r="257" spans="1:13" s="239" customFormat="1" ht="13" customHeight="1">
      <c r="A257" s="17"/>
      <c r="B257" s="17"/>
      <c r="C257" s="527" t="s">
        <v>302</v>
      </c>
      <c r="D257" s="21">
        <f>Tragwerk!$G$60</f>
        <v>3.3432704953967556</v>
      </c>
      <c r="E257" s="19" t="s">
        <v>2</v>
      </c>
      <c r="F257" s="17"/>
      <c r="G257" s="527" t="s">
        <v>75</v>
      </c>
      <c r="H257" s="527"/>
      <c r="I257" s="527"/>
      <c r="J257" s="527"/>
      <c r="K257" s="17"/>
      <c r="L257" s="224"/>
      <c r="M257" s="17"/>
    </row>
    <row r="258" spans="1:13" s="239" customFormat="1" ht="13" customHeight="1">
      <c r="A258" s="17"/>
      <c r="B258" s="17"/>
      <c r="C258" s="25" t="s">
        <v>88</v>
      </c>
      <c r="D258" s="26">
        <f>D257/D256</f>
        <v>2.5311400106849936E-2</v>
      </c>
      <c r="E258" s="520" t="s">
        <v>7</v>
      </c>
      <c r="F258" s="27"/>
      <c r="G258" s="24" t="s">
        <v>46</v>
      </c>
      <c r="H258" s="527"/>
      <c r="I258" s="527"/>
      <c r="J258" s="527"/>
      <c r="K258" s="17"/>
      <c r="L258" s="224"/>
      <c r="M258" s="17"/>
    </row>
    <row r="259" spans="1:13" s="239" customFormat="1" ht="5.5" customHeight="1">
      <c r="A259" s="4"/>
      <c r="B259" s="240"/>
      <c r="C259" s="240"/>
      <c r="D259" s="240"/>
      <c r="E259" s="240"/>
      <c r="F259" s="240"/>
      <c r="G259" s="240"/>
      <c r="H259" s="240"/>
      <c r="I259" s="240"/>
      <c r="J259" s="242"/>
      <c r="K259" s="228"/>
      <c r="L259" s="224"/>
      <c r="M259" s="17"/>
    </row>
    <row r="260" spans="1:13" s="239" customFormat="1" ht="13" customHeight="1">
      <c r="A260" s="17"/>
      <c r="B260" s="233" t="s">
        <v>132</v>
      </c>
      <c r="C260" s="19"/>
      <c r="D260" s="19"/>
      <c r="E260" s="17"/>
      <c r="F260" s="17"/>
      <c r="G260" s="527"/>
      <c r="H260" s="527"/>
      <c r="I260" s="527"/>
      <c r="J260" s="225"/>
      <c r="K260" s="224"/>
      <c r="L260" s="224"/>
      <c r="M260" s="17"/>
    </row>
    <row r="261" spans="1:13" s="239" customFormat="1" ht="13" customHeight="1">
      <c r="A261" s="17"/>
      <c r="B261" s="233"/>
      <c r="C261" s="234" t="s">
        <v>128</v>
      </c>
      <c r="D261" s="21">
        <f>INDEX(Tragwerk!$G$27:$I$27,1,MATCH(Eingabe!$C$4,Tragwerk!$G$14:$I$14))</f>
        <v>84.446010528493645</v>
      </c>
      <c r="E261" s="19" t="s">
        <v>2</v>
      </c>
      <c r="F261" s="17"/>
      <c r="G261" s="527" t="s">
        <v>76</v>
      </c>
      <c r="H261" s="527"/>
      <c r="I261" s="527"/>
      <c r="J261" s="225"/>
      <c r="K261" s="224"/>
      <c r="L261" s="224"/>
      <c r="M261" s="17"/>
    </row>
    <row r="262" spans="1:13" s="239" customFormat="1" ht="13" customHeight="1">
      <c r="A262" s="17"/>
      <c r="B262" s="233"/>
      <c r="C262" s="234" t="s">
        <v>129</v>
      </c>
      <c r="D262" s="20">
        <f>INDEX(Tragwerk!$G$28:$I$28,1,MATCH(Eingabe!$C$4,Tragwerk!$G$14:$I$14))</f>
        <v>420</v>
      </c>
      <c r="E262" s="241" t="s">
        <v>0</v>
      </c>
      <c r="F262" s="17"/>
      <c r="G262" s="527" t="s">
        <v>1559</v>
      </c>
      <c r="H262" s="527"/>
      <c r="I262" s="527"/>
      <c r="J262" s="225"/>
      <c r="K262" s="224"/>
      <c r="L262" s="224"/>
      <c r="M262" s="17"/>
    </row>
    <row r="263" spans="1:13" s="239" customFormat="1" ht="13" customHeight="1">
      <c r="A263" s="17"/>
      <c r="B263" s="233"/>
      <c r="C263" s="234" t="s">
        <v>130</v>
      </c>
      <c r="D263" s="20">
        <f>INDEX(Tragwerk!$G$29:$I$29,1,MATCH(Eingabe!$C$4,Tragwerk!$G$14:$I$14))</f>
        <v>176400</v>
      </c>
      <c r="E263" s="241" t="s">
        <v>16</v>
      </c>
      <c r="F263" s="17"/>
      <c r="G263" s="527" t="s">
        <v>1554</v>
      </c>
      <c r="H263" s="527"/>
      <c r="I263" s="527"/>
      <c r="J263" s="225"/>
      <c r="K263" s="224"/>
      <c r="L263" s="224"/>
      <c r="M263" s="17"/>
    </row>
    <row r="264" spans="1:13" s="239" customFormat="1" ht="13" customHeight="1">
      <c r="A264" s="17"/>
      <c r="B264" s="233"/>
      <c r="C264" s="234" t="s">
        <v>131</v>
      </c>
      <c r="D264" s="20">
        <f>INDEX(Tragwerk!$G$30:$I$30,1,MATCH(Eingabe!$C$4,Tragwerk!$G$14:$I$14))</f>
        <v>142800</v>
      </c>
      <c r="E264" s="241" t="s">
        <v>16</v>
      </c>
      <c r="F264" s="17"/>
      <c r="G264" s="527" t="s">
        <v>1554</v>
      </c>
      <c r="H264" s="527"/>
      <c r="I264" s="527"/>
      <c r="J264" s="225"/>
      <c r="K264" s="224"/>
      <c r="L264" s="224"/>
      <c r="M264" s="17"/>
    </row>
    <row r="265" spans="1:13" s="239" customFormat="1" ht="13" customHeight="1">
      <c r="A265" s="17"/>
      <c r="B265" s="233"/>
      <c r="C265" s="234" t="s">
        <v>133</v>
      </c>
      <c r="D265" s="21">
        <f>INDEX(Tragwerk!$G$31:$I$31,1,MATCH(Eingabe!$C$4,Tragwerk!$G$14:$I$14))</f>
        <v>1</v>
      </c>
      <c r="E265" s="19" t="s">
        <v>7</v>
      </c>
      <c r="F265" s="17"/>
      <c r="G265" s="527" t="s">
        <v>1324</v>
      </c>
      <c r="H265" s="527"/>
      <c r="I265" s="527"/>
      <c r="J265" s="225"/>
      <c r="K265" s="224"/>
      <c r="L265" s="224"/>
      <c r="M265" s="17"/>
    </row>
    <row r="266" spans="1:13" s="239" customFormat="1" ht="13" customHeight="1">
      <c r="A266" s="17"/>
      <c r="B266" s="233"/>
      <c r="C266" s="234" t="s">
        <v>104</v>
      </c>
      <c r="D266" s="21">
        <f>INDEX(Tragwerk!$G$32:$I$32,1,MATCH(Eingabe!$C$4,Tragwerk!$G$14:$I$14))</f>
        <v>1</v>
      </c>
      <c r="E266" s="19" t="s">
        <v>7</v>
      </c>
      <c r="F266" s="17"/>
      <c r="G266" s="527" t="s">
        <v>1324</v>
      </c>
      <c r="H266" s="527"/>
      <c r="I266" s="527"/>
      <c r="J266" s="225"/>
      <c r="K266" s="224"/>
      <c r="L266" s="224"/>
      <c r="M266" s="17"/>
    </row>
    <row r="267" spans="1:13" s="239" customFormat="1" ht="13" customHeight="1">
      <c r="A267" s="17"/>
      <c r="B267" s="233"/>
      <c r="C267" s="234" t="s">
        <v>110</v>
      </c>
      <c r="D267" s="19">
        <f>INDEX(Tragwerk!$G$33:$I$33,1,MATCH(Eingabe!$C$4,Tragwerk!$G$14:$I$14))</f>
        <v>1.04</v>
      </c>
      <c r="E267" s="19" t="s">
        <v>7</v>
      </c>
      <c r="F267" s="17"/>
      <c r="G267" s="527" t="s">
        <v>360</v>
      </c>
      <c r="H267" s="527"/>
      <c r="I267" s="527"/>
      <c r="J267" s="225"/>
      <c r="K267" s="224"/>
      <c r="L267" s="224"/>
      <c r="M267" s="17"/>
    </row>
    <row r="268" spans="1:13" s="239" customFormat="1" ht="13" customHeight="1">
      <c r="A268" s="17"/>
      <c r="B268" s="233"/>
      <c r="C268" s="234" t="s">
        <v>111</v>
      </c>
      <c r="D268" s="19">
        <f>INDEX(Tragwerk!$G$34:$I$34,1,MATCH(Eingabe!$C$4,Tragwerk!$G$14:$I$14))</f>
        <v>1.07</v>
      </c>
      <c r="E268" s="19" t="s">
        <v>7</v>
      </c>
      <c r="F268" s="17"/>
      <c r="G268" s="527" t="s">
        <v>360</v>
      </c>
      <c r="H268" s="527"/>
      <c r="I268" s="527"/>
      <c r="J268" s="225"/>
      <c r="K268" s="224"/>
      <c r="L268" s="224"/>
      <c r="M268" s="17"/>
    </row>
    <row r="269" spans="1:13" s="239" customFormat="1" ht="13" customHeight="1">
      <c r="A269" s="17"/>
      <c r="B269" s="233"/>
      <c r="C269" s="234" t="s">
        <v>112</v>
      </c>
      <c r="D269" s="19">
        <f>INDEX(Tragwerk!$G$35:$I$35,1,MATCH(Eingabe!$C$4,Tragwerk!$G$14:$I$14))</f>
        <v>1.0900000000000001</v>
      </c>
      <c r="E269" s="19" t="s">
        <v>7</v>
      </c>
      <c r="F269" s="17"/>
      <c r="G269" s="527" t="s">
        <v>360</v>
      </c>
      <c r="H269" s="527"/>
      <c r="I269" s="527"/>
      <c r="J269" s="225"/>
      <c r="K269" s="224"/>
      <c r="L269" s="224"/>
      <c r="M269" s="17"/>
    </row>
    <row r="270" spans="1:13" s="239" customFormat="1" ht="13" customHeight="1">
      <c r="A270" s="17"/>
      <c r="B270" s="233"/>
      <c r="C270" s="234" t="s">
        <v>108</v>
      </c>
      <c r="D270" s="19">
        <f>Tragwerk!$G$38</f>
        <v>1.2</v>
      </c>
      <c r="E270" s="19" t="s">
        <v>7</v>
      </c>
      <c r="F270" s="17"/>
      <c r="G270" s="527" t="s">
        <v>1324</v>
      </c>
      <c r="H270" s="527"/>
      <c r="I270" s="527"/>
      <c r="J270" s="225"/>
      <c r="K270" s="224"/>
      <c r="L270" s="224"/>
      <c r="M270" s="17"/>
    </row>
    <row r="271" spans="1:13" s="239" customFormat="1" ht="13" customHeight="1">
      <c r="A271" s="17"/>
      <c r="B271" s="233"/>
      <c r="C271" s="234" t="s">
        <v>123</v>
      </c>
      <c r="D271" s="21">
        <f>INDEX(Tragwerk!G39:I39,1,MATCH(Eingabe!$C$4,Tragwerk!$G$14:$I$14))</f>
        <v>59.246248656498729</v>
      </c>
      <c r="E271" s="19" t="s">
        <v>2</v>
      </c>
      <c r="F271" s="17"/>
      <c r="G271" s="527" t="s">
        <v>73</v>
      </c>
      <c r="H271" s="527"/>
      <c r="I271" s="527"/>
      <c r="J271" s="225"/>
      <c r="K271" s="224"/>
      <c r="L271" s="224"/>
      <c r="M271" s="17"/>
    </row>
    <row r="272" spans="1:13" s="239" customFormat="1" ht="13" customHeight="1">
      <c r="A272" s="17"/>
      <c r="B272" s="233"/>
      <c r="C272" s="527" t="s">
        <v>302</v>
      </c>
      <c r="D272" s="21">
        <f>Tragwerk!$G$60</f>
        <v>3.3432704953967556</v>
      </c>
      <c r="E272" s="19" t="s">
        <v>2</v>
      </c>
      <c r="F272" s="17"/>
      <c r="G272" s="527" t="s">
        <v>75</v>
      </c>
      <c r="H272" s="527"/>
      <c r="I272" s="527"/>
      <c r="J272" s="225"/>
      <c r="K272" s="224"/>
      <c r="L272" s="224"/>
      <c r="M272" s="17"/>
    </row>
    <row r="273" spans="1:13" s="239" customFormat="1" ht="13" customHeight="1">
      <c r="A273" s="17"/>
      <c r="B273" s="233"/>
      <c r="C273" s="25" t="s">
        <v>122</v>
      </c>
      <c r="D273" s="26">
        <f>D272/D271</f>
        <v>5.6430079054972063E-2</v>
      </c>
      <c r="E273" s="520" t="s">
        <v>7</v>
      </c>
      <c r="F273" s="27"/>
      <c r="G273" s="24" t="s">
        <v>46</v>
      </c>
      <c r="H273" s="527"/>
      <c r="I273" s="527"/>
      <c r="J273" s="225"/>
      <c r="K273" s="224"/>
      <c r="L273" s="224"/>
      <c r="M273" s="17"/>
    </row>
    <row r="274" spans="1:13" s="239" customFormat="1" ht="5.5" customHeight="1">
      <c r="A274" s="4"/>
      <c r="B274" s="240"/>
      <c r="C274" s="240"/>
      <c r="D274" s="240"/>
      <c r="E274" s="240"/>
      <c r="F274" s="240"/>
      <c r="G274" s="240"/>
      <c r="H274" s="240"/>
      <c r="I274" s="240"/>
      <c r="J274" s="242"/>
      <c r="K274" s="228"/>
      <c r="L274" s="224"/>
      <c r="M274" s="17"/>
    </row>
    <row r="275" spans="1:13" s="239" customFormat="1" ht="13" customHeight="1">
      <c r="A275" s="224"/>
      <c r="B275" s="233" t="s">
        <v>8</v>
      </c>
      <c r="C275" s="19"/>
      <c r="D275" s="19"/>
      <c r="E275" s="17"/>
      <c r="F275" s="17"/>
      <c r="G275" s="527"/>
      <c r="H275" s="527"/>
      <c r="I275" s="527"/>
      <c r="J275" s="225"/>
      <c r="K275" s="224"/>
      <c r="L275" s="224"/>
      <c r="M275" s="17"/>
    </row>
    <row r="276" spans="1:13" s="239" customFormat="1" ht="13" customHeight="1">
      <c r="A276" s="224"/>
      <c r="B276" s="17"/>
      <c r="C276" s="527" t="s">
        <v>78</v>
      </c>
      <c r="D276" s="21">
        <f>INDEX(Tragwerk!G41:I41,1,MATCH(Eingabe!$C$4,Tragwerk!$G$14:$I$14))</f>
        <v>80.007519646593167</v>
      </c>
      <c r="E276" s="19" t="s">
        <v>2</v>
      </c>
      <c r="F276" s="17"/>
      <c r="G276" s="527" t="s">
        <v>1324</v>
      </c>
      <c r="H276" s="527"/>
      <c r="I276" s="527"/>
      <c r="J276" s="225"/>
      <c r="K276" s="224"/>
      <c r="L276" s="224"/>
      <c r="M276" s="17"/>
    </row>
    <row r="277" spans="1:13" s="239" customFormat="1" ht="13" customHeight="1">
      <c r="A277" s="224"/>
      <c r="B277" s="17"/>
      <c r="C277" s="527" t="s">
        <v>79</v>
      </c>
      <c r="D277" s="19">
        <f>INDEX(Tragwerk!G42:I42,1,MATCH(Eingabe!$C$4,Tragwerk!$G$14:$I$14))</f>
        <v>176400</v>
      </c>
      <c r="E277" s="19" t="s">
        <v>16</v>
      </c>
      <c r="F277" s="17"/>
      <c r="G277" s="527" t="s">
        <v>1324</v>
      </c>
      <c r="H277" s="527"/>
      <c r="I277" s="527"/>
      <c r="J277" s="225"/>
      <c r="K277" s="224"/>
      <c r="L277" s="224"/>
      <c r="M277" s="17"/>
    </row>
    <row r="278" spans="1:13" s="239" customFormat="1" ht="13" customHeight="1">
      <c r="A278" s="224"/>
      <c r="B278" s="17"/>
      <c r="C278" s="527" t="s">
        <v>80</v>
      </c>
      <c r="D278" s="19">
        <f>INDEX(Tragwerk!G43:I43,1,MATCH(Eingabe!$C$4,Tragwerk!$G$14:$I$14))</f>
        <v>142800</v>
      </c>
      <c r="E278" s="19" t="s">
        <v>16</v>
      </c>
      <c r="F278" s="17"/>
      <c r="G278" s="527" t="s">
        <v>1324</v>
      </c>
      <c r="H278" s="527"/>
      <c r="I278" s="527"/>
      <c r="J278" s="225"/>
      <c r="K278" s="224"/>
      <c r="L278" s="224"/>
      <c r="M278" s="17"/>
    </row>
    <row r="279" spans="1:13" s="239" customFormat="1" ht="13" customHeight="1">
      <c r="A279" s="224"/>
      <c r="B279" s="17"/>
      <c r="C279" s="23" t="s">
        <v>81</v>
      </c>
      <c r="D279" s="21">
        <f>INDEX(Tragwerk!G44:I44,1,MATCH(Eingabe!$C$4,Tragwerk!$G$14:$I$14))</f>
        <v>1</v>
      </c>
      <c r="E279" s="19" t="s">
        <v>7</v>
      </c>
      <c r="F279" s="17"/>
      <c r="G279" s="527" t="s">
        <v>1324</v>
      </c>
      <c r="H279" s="527"/>
      <c r="I279" s="527"/>
      <c r="J279" s="225"/>
      <c r="K279" s="224"/>
      <c r="L279" s="224"/>
      <c r="M279" s="17"/>
    </row>
    <row r="280" spans="1:13" s="239" customFormat="1" ht="13" customHeight="1">
      <c r="A280" s="224"/>
      <c r="B280" s="17"/>
      <c r="C280" s="23" t="s">
        <v>82</v>
      </c>
      <c r="D280" s="21">
        <f>INDEX(Tragwerk!G45:I45,1,MATCH(Eingabe!$C$4,Tragwerk!$G$14:$I$14))</f>
        <v>1</v>
      </c>
      <c r="E280" s="19" t="s">
        <v>7</v>
      </c>
      <c r="F280" s="17"/>
      <c r="G280" s="527" t="s">
        <v>1324</v>
      </c>
      <c r="H280" s="527"/>
      <c r="I280" s="527"/>
      <c r="J280" s="225"/>
      <c r="K280" s="224"/>
      <c r="L280" s="224"/>
      <c r="M280" s="17"/>
    </row>
    <row r="281" spans="1:13" s="239" customFormat="1" ht="13" customHeight="1">
      <c r="A281" s="224"/>
      <c r="B281" s="17"/>
      <c r="C281" s="23" t="s">
        <v>83</v>
      </c>
      <c r="D281" s="21">
        <f>INDEX(Tragwerk!G46:I46,1,MATCH(Eingabe!$C$4,Tragwerk!$G$14:$I$14))</f>
        <v>1</v>
      </c>
      <c r="E281" s="19" t="s">
        <v>7</v>
      </c>
      <c r="F281" s="17"/>
      <c r="G281" s="527" t="s">
        <v>1324</v>
      </c>
      <c r="H281" s="527"/>
      <c r="I281" s="527"/>
      <c r="J281" s="225"/>
      <c r="K281" s="224"/>
      <c r="L281" s="224"/>
      <c r="M281" s="17"/>
    </row>
    <row r="282" spans="1:13" s="239" customFormat="1" ht="13" customHeight="1">
      <c r="A282" s="224"/>
      <c r="B282" s="17"/>
      <c r="C282" s="527" t="s">
        <v>77</v>
      </c>
      <c r="D282" s="21">
        <f>INDEX(Tragwerk!G48:I48,1,MATCH(Eingabe!$C$4,Tragwerk!$G$14:$I$14))</f>
        <v>64.767992094861128</v>
      </c>
      <c r="E282" s="19" t="s">
        <v>2</v>
      </c>
      <c r="F282" s="17"/>
      <c r="G282" s="527" t="s">
        <v>1324</v>
      </c>
      <c r="H282" s="527"/>
      <c r="I282" s="527"/>
      <c r="J282" s="225"/>
      <c r="K282" s="224"/>
      <c r="L282" s="224"/>
      <c r="M282" s="17"/>
    </row>
    <row r="283" spans="1:13" s="239" customFormat="1" ht="13" customHeight="1">
      <c r="A283" s="224"/>
      <c r="B283" s="17"/>
      <c r="C283" s="17" t="s">
        <v>12</v>
      </c>
      <c r="D283" s="19">
        <f>Tragwerk!$G$49</f>
        <v>1.2</v>
      </c>
      <c r="E283" s="19" t="s">
        <v>7</v>
      </c>
      <c r="F283" s="17"/>
      <c r="G283" s="527" t="s">
        <v>1324</v>
      </c>
      <c r="H283" s="527"/>
      <c r="I283" s="527"/>
      <c r="J283" s="225"/>
      <c r="K283" s="224"/>
      <c r="L283" s="224"/>
      <c r="M283" s="17"/>
    </row>
    <row r="284" spans="1:13" s="239" customFormat="1" ht="13" customHeight="1">
      <c r="A284" s="224"/>
      <c r="B284" s="17"/>
      <c r="C284" s="527" t="s">
        <v>71</v>
      </c>
      <c r="D284" s="21">
        <f>INDEX(Tragwerk!G50:I50,1,MATCH(Eingabe!$C$4,Tragwerk!$G$14:$I$14))</f>
        <v>53.973326745717607</v>
      </c>
      <c r="E284" s="19" t="s">
        <v>2</v>
      </c>
      <c r="F284" s="17"/>
      <c r="G284" s="527" t="s">
        <v>73</v>
      </c>
      <c r="H284" s="527"/>
      <c r="I284" s="527"/>
      <c r="J284" s="225"/>
      <c r="K284" s="224"/>
      <c r="L284" s="224"/>
      <c r="M284" s="17"/>
    </row>
    <row r="285" spans="1:13" s="239" customFormat="1" ht="13" customHeight="1">
      <c r="A285" s="224"/>
      <c r="B285" s="17"/>
      <c r="C285" s="527" t="s">
        <v>302</v>
      </c>
      <c r="D285" s="21">
        <f>Tragwerk!$G$60</f>
        <v>3.3432704953967556</v>
      </c>
      <c r="E285" s="19" t="s">
        <v>2</v>
      </c>
      <c r="F285" s="17"/>
      <c r="G285" s="527" t="s">
        <v>75</v>
      </c>
      <c r="H285" s="527"/>
      <c r="I285" s="527"/>
      <c r="J285" s="225"/>
      <c r="K285" s="224"/>
      <c r="L285" s="224"/>
      <c r="M285" s="17"/>
    </row>
    <row r="286" spans="1:13" s="239" customFormat="1" ht="13" customHeight="1">
      <c r="A286" s="224"/>
      <c r="B286" s="17"/>
      <c r="C286" s="25" t="s">
        <v>89</v>
      </c>
      <c r="D286" s="26">
        <f>D285/D284</f>
        <v>6.1943013280388912E-2</v>
      </c>
      <c r="E286" s="520" t="s">
        <v>7</v>
      </c>
      <c r="F286" s="27"/>
      <c r="G286" s="24" t="s">
        <v>46</v>
      </c>
      <c r="H286" s="527"/>
      <c r="I286" s="527"/>
      <c r="J286" s="225"/>
      <c r="K286" s="224"/>
      <c r="L286" s="224"/>
      <c r="M286" s="17"/>
    </row>
    <row r="287" spans="1:13" s="239" customFormat="1" ht="5.5" customHeight="1">
      <c r="A287" s="224"/>
      <c r="B287" s="17"/>
      <c r="C287" s="25"/>
      <c r="D287" s="26"/>
      <c r="E287" s="520"/>
      <c r="F287" s="27"/>
      <c r="G287" s="24"/>
      <c r="H287" s="527"/>
      <c r="I287" s="527"/>
      <c r="J287" s="225"/>
      <c r="K287" s="224"/>
      <c r="L287" s="224"/>
      <c r="M287" s="17"/>
    </row>
    <row r="288" spans="1:13" s="239" customFormat="1" ht="13" customHeight="1">
      <c r="A288" s="1032" t="s">
        <v>513</v>
      </c>
      <c r="B288" s="1032"/>
      <c r="C288" s="1032"/>
      <c r="D288" s="1032"/>
      <c r="E288" s="1032"/>
      <c r="F288" s="1032"/>
      <c r="G288" s="1032"/>
      <c r="H288" s="1032"/>
      <c r="I288" s="1032"/>
      <c r="J288" s="1032"/>
      <c r="K288" s="520"/>
      <c r="L288" s="224"/>
      <c r="M288" s="17"/>
    </row>
    <row r="289" spans="1:18" s="239" customFormat="1" ht="13" customHeight="1">
      <c r="A289" s="224"/>
      <c r="B289" s="235" t="s">
        <v>120</v>
      </c>
      <c r="C289" s="25"/>
      <c r="D289" s="26"/>
      <c r="E289" s="520"/>
      <c r="F289" s="27"/>
      <c r="G289" s="24"/>
      <c r="H289" s="527"/>
      <c r="I289" s="527"/>
      <c r="J289" s="225"/>
      <c r="K289" s="224"/>
      <c r="L289" s="224"/>
      <c r="M289" s="17"/>
    </row>
    <row r="290" spans="1:18" s="239" customFormat="1" ht="13" customHeight="1">
      <c r="A290" s="224"/>
      <c r="B290" s="17"/>
      <c r="C290" s="527" t="s">
        <v>118</v>
      </c>
      <c r="D290" s="21">
        <f>INDEX(Tragwerk!G65:I65,1,MATCH(Eingabe!$C$4,Tragwerk!$G$14:$I$14))</f>
        <v>760.54326346673008</v>
      </c>
      <c r="E290" s="19" t="s">
        <v>119</v>
      </c>
      <c r="F290" s="17"/>
      <c r="G290" s="527" t="s">
        <v>362</v>
      </c>
      <c r="H290" s="527"/>
      <c r="I290" s="527"/>
      <c r="J290" s="225"/>
      <c r="K290" s="224"/>
      <c r="L290" s="224"/>
      <c r="M290" s="17"/>
    </row>
    <row r="291" spans="1:18" s="239" customFormat="1" ht="13" customHeight="1">
      <c r="A291" s="224"/>
      <c r="B291" s="17"/>
      <c r="C291" s="17" t="s">
        <v>3</v>
      </c>
      <c r="D291" s="21">
        <f>Tragwerk!$G$66</f>
        <v>1.56</v>
      </c>
      <c r="E291" s="19" t="s">
        <v>7</v>
      </c>
      <c r="F291" s="17"/>
      <c r="G291" s="527" t="s">
        <v>359</v>
      </c>
      <c r="H291" s="527"/>
      <c r="I291" s="527"/>
      <c r="J291" s="225"/>
      <c r="K291" s="224"/>
      <c r="L291" s="224"/>
      <c r="M291" s="17"/>
    </row>
    <row r="292" spans="1:18" s="239" customFormat="1" ht="13" customHeight="1">
      <c r="A292" s="224"/>
      <c r="B292" s="17"/>
      <c r="C292" s="527" t="s">
        <v>65</v>
      </c>
      <c r="D292" s="21">
        <f>INDEX(Tragwerk!G67:I67,1,MATCH(Eingabe!$C$4,Tragwerk!$G$14:$I$14))</f>
        <v>30.470483311968351</v>
      </c>
      <c r="E292" s="19" t="s">
        <v>2</v>
      </c>
      <c r="F292" s="17"/>
      <c r="G292" s="527" t="s">
        <v>73</v>
      </c>
      <c r="H292" s="527"/>
      <c r="I292" s="527"/>
      <c r="J292" s="225"/>
      <c r="K292" s="224"/>
      <c r="L292" s="224"/>
      <c r="M292" s="17"/>
    </row>
    <row r="293" spans="1:18" s="239" customFormat="1" ht="13" customHeight="1">
      <c r="A293" s="224"/>
      <c r="B293" s="17"/>
      <c r="C293" s="527" t="s">
        <v>303</v>
      </c>
      <c r="D293" s="21">
        <f>Tragwerk!$G$68</f>
        <v>27.194109375</v>
      </c>
      <c r="E293" s="19" t="s">
        <v>2</v>
      </c>
      <c r="F293" s="17"/>
      <c r="G293" s="527" t="s">
        <v>75</v>
      </c>
      <c r="H293" s="520"/>
      <c r="I293" s="520"/>
      <c r="J293" s="520"/>
      <c r="K293" s="520"/>
      <c r="L293" s="520"/>
      <c r="M293" s="520"/>
      <c r="N293" s="520"/>
      <c r="O293" s="520"/>
      <c r="P293" s="520"/>
      <c r="Q293" s="520"/>
      <c r="R293" s="520"/>
    </row>
    <row r="294" spans="1:18" s="239" customFormat="1" ht="13" customHeight="1">
      <c r="A294" s="224"/>
      <c r="B294" s="17"/>
      <c r="C294" s="25" t="s">
        <v>90</v>
      </c>
      <c r="D294" s="26">
        <f>D293/D292</f>
        <v>0.8924738441650697</v>
      </c>
      <c r="E294" s="520" t="s">
        <v>7</v>
      </c>
      <c r="F294" s="27"/>
      <c r="G294" s="24" t="s">
        <v>46</v>
      </c>
      <c r="H294" s="527"/>
      <c r="I294" s="527"/>
      <c r="J294" s="225"/>
      <c r="K294" s="224"/>
      <c r="L294" s="224"/>
      <c r="M294" s="17"/>
    </row>
    <row r="295" spans="1:18" s="239" customFormat="1" ht="5.5" customHeight="1">
      <c r="A295" s="224"/>
      <c r="B295" s="17"/>
      <c r="C295" s="25"/>
      <c r="D295" s="26"/>
      <c r="E295" s="520"/>
      <c r="F295" s="27"/>
      <c r="G295" s="24"/>
      <c r="H295" s="527"/>
      <c r="I295" s="527"/>
      <c r="J295" s="225"/>
      <c r="K295" s="224"/>
      <c r="L295" s="224"/>
      <c r="M295" s="17"/>
    </row>
    <row r="296" spans="1:18" s="239" customFormat="1" ht="13" customHeight="1">
      <c r="A296" s="224"/>
      <c r="B296" s="238" t="s">
        <v>9</v>
      </c>
      <c r="C296" s="25"/>
      <c r="D296" s="26"/>
      <c r="E296" s="520"/>
      <c r="F296" s="27"/>
      <c r="G296" s="24"/>
      <c r="H296" s="527"/>
      <c r="I296" s="527"/>
      <c r="J296" s="225"/>
      <c r="K296" s="224"/>
      <c r="L296" s="224"/>
      <c r="M296" s="17"/>
    </row>
    <row r="297" spans="1:18" s="239" customFormat="1" ht="13" customHeight="1">
      <c r="A297" s="224"/>
      <c r="B297" s="17"/>
      <c r="C297" s="4" t="s">
        <v>10</v>
      </c>
      <c r="D297" s="21">
        <f>Tragwerk!$G$71</f>
        <v>2.5</v>
      </c>
      <c r="E297" s="19" t="s">
        <v>7</v>
      </c>
      <c r="F297" s="17"/>
      <c r="G297" s="17" t="s">
        <v>509</v>
      </c>
      <c r="H297" s="527"/>
      <c r="I297" s="527"/>
      <c r="J297" s="225"/>
      <c r="K297" s="224"/>
      <c r="L297" s="224"/>
      <c r="M297" s="17"/>
    </row>
    <row r="298" spans="1:18" s="239" customFormat="1" ht="13" customHeight="1">
      <c r="A298" s="224"/>
      <c r="B298" s="17"/>
      <c r="C298" s="527" t="s">
        <v>18</v>
      </c>
      <c r="D298" s="21">
        <f>INDEX(Tragwerk!G72:I72,1,MATCH(Eingabe!$C$4,Tragwerk!$G$14:$I$14))</f>
        <v>161.91998023715283</v>
      </c>
      <c r="E298" s="237" t="s">
        <v>2</v>
      </c>
      <c r="F298" s="17"/>
      <c r="G298" s="527" t="s">
        <v>1324</v>
      </c>
      <c r="H298" s="527"/>
      <c r="I298" s="527"/>
      <c r="J298" s="225"/>
      <c r="K298" s="224"/>
      <c r="L298" s="224"/>
      <c r="M298" s="17"/>
    </row>
    <row r="299" spans="1:18" s="239" customFormat="1" ht="13" customHeight="1">
      <c r="A299" s="224"/>
      <c r="B299" s="17"/>
      <c r="C299" s="17" t="s">
        <v>12</v>
      </c>
      <c r="D299" s="21">
        <f>Tragwerk!$G$73</f>
        <v>1.2</v>
      </c>
      <c r="E299" s="19" t="s">
        <v>7</v>
      </c>
      <c r="F299" s="17"/>
      <c r="G299" s="527" t="s">
        <v>1324</v>
      </c>
      <c r="H299" s="527"/>
      <c r="I299" s="527"/>
      <c r="J299" s="225"/>
      <c r="K299" s="224"/>
      <c r="L299" s="224"/>
      <c r="M299" s="17"/>
    </row>
    <row r="300" spans="1:18" s="239" customFormat="1" ht="13" customHeight="1">
      <c r="A300" s="224"/>
      <c r="B300" s="17"/>
      <c r="C300" s="17" t="s">
        <v>72</v>
      </c>
      <c r="D300" s="21">
        <f>INDEX(Tragwerk!G74:I74,1,MATCH(Eingabe!$C$4,Tragwerk!$G$14:$I$14))</f>
        <v>134.93331686429403</v>
      </c>
      <c r="E300" s="19" t="s">
        <v>2</v>
      </c>
      <c r="F300" s="17"/>
      <c r="G300" s="527" t="s">
        <v>73</v>
      </c>
      <c r="H300" s="527"/>
      <c r="I300" s="527"/>
      <c r="J300" s="225"/>
      <c r="K300" s="224"/>
      <c r="L300" s="224"/>
      <c r="M300" s="17"/>
    </row>
    <row r="301" spans="1:18" s="239" customFormat="1" ht="13" customHeight="1">
      <c r="A301" s="224"/>
      <c r="B301" s="17"/>
      <c r="C301" s="527" t="s">
        <v>303</v>
      </c>
      <c r="D301" s="21">
        <f>Tragwerk!$G$91</f>
        <v>27.194109375</v>
      </c>
      <c r="E301" s="19" t="s">
        <v>2</v>
      </c>
      <c r="F301" s="17"/>
      <c r="G301" s="527" t="s">
        <v>75</v>
      </c>
      <c r="H301" s="527"/>
      <c r="I301" s="527"/>
      <c r="J301" s="225"/>
      <c r="K301" s="224"/>
      <c r="L301" s="224"/>
      <c r="M301" s="17"/>
    </row>
    <row r="302" spans="1:18" s="239" customFormat="1" ht="13" customHeight="1">
      <c r="A302" s="224"/>
      <c r="B302" s="17"/>
      <c r="C302" s="25" t="s">
        <v>91</v>
      </c>
      <c r="D302" s="26">
        <f>D301/D300</f>
        <v>0.20153739644857191</v>
      </c>
      <c r="E302" s="520" t="s">
        <v>7</v>
      </c>
      <c r="F302" s="27"/>
      <c r="G302" s="24" t="s">
        <v>46</v>
      </c>
      <c r="H302" s="527"/>
      <c r="I302" s="527"/>
      <c r="J302" s="225"/>
      <c r="K302" s="224"/>
      <c r="L302" s="224"/>
      <c r="M302" s="17"/>
    </row>
    <row r="303" spans="1:18" s="239" customFormat="1" ht="5.9" customHeight="1">
      <c r="A303" s="4"/>
      <c r="B303" s="240"/>
      <c r="C303" s="240"/>
      <c r="D303" s="240"/>
      <c r="E303" s="240"/>
      <c r="F303" s="240"/>
      <c r="G303" s="240"/>
      <c r="H303" s="240"/>
      <c r="I303" s="240"/>
      <c r="J303" s="240"/>
      <c r="K303" s="4"/>
      <c r="L303" s="224"/>
      <c r="M303" s="17"/>
    </row>
    <row r="304" spans="1:18" s="239" customFormat="1" ht="13" customHeight="1">
      <c r="A304" s="4"/>
      <c r="B304" s="238" t="s">
        <v>11</v>
      </c>
      <c r="C304" s="240"/>
      <c r="D304" s="240"/>
      <c r="E304" s="240"/>
      <c r="F304" s="240"/>
      <c r="G304" s="240"/>
      <c r="H304" s="240"/>
      <c r="I304" s="240"/>
      <c r="J304" s="240"/>
      <c r="K304" s="4"/>
      <c r="L304" s="224"/>
      <c r="M304" s="17"/>
    </row>
    <row r="305" spans="1:13" s="239" customFormat="1" ht="13" customHeight="1">
      <c r="A305" s="4"/>
      <c r="B305" s="240"/>
      <c r="C305" s="234" t="s">
        <v>21</v>
      </c>
      <c r="D305" s="464">
        <f>INDEX(Tragwerk!G76:I76,1,MATCH(Eingabe!$C$4,Tragwerk!$B$14:$D$14))</f>
        <v>3.859224924939799E-2</v>
      </c>
      <c r="E305" s="19" t="s">
        <v>7</v>
      </c>
      <c r="F305" s="27"/>
      <c r="G305" s="527" t="s">
        <v>1324</v>
      </c>
      <c r="H305" s="240"/>
      <c r="I305" s="240"/>
      <c r="J305" s="240"/>
      <c r="K305" s="4"/>
      <c r="L305" s="224"/>
      <c r="M305" s="17"/>
    </row>
    <row r="306" spans="1:13" s="239" customFormat="1" ht="13" customHeight="1">
      <c r="A306" s="4"/>
      <c r="B306" s="240"/>
      <c r="C306" s="234" t="s">
        <v>134</v>
      </c>
      <c r="D306" s="464">
        <f>INDEX(Tragwerk!G77:I77,1,MATCH(Eingabe!$C$4,Tragwerk!$B$14:$D$14))</f>
        <v>4.8019394289709035E-2</v>
      </c>
      <c r="E306" s="19" t="s">
        <v>7</v>
      </c>
      <c r="F306" s="27"/>
      <c r="G306" s="527" t="s">
        <v>1324</v>
      </c>
      <c r="H306" s="240"/>
      <c r="I306" s="240"/>
      <c r="J306" s="240"/>
      <c r="K306" s="4"/>
      <c r="L306" s="224"/>
      <c r="M306" s="17"/>
    </row>
    <row r="307" spans="1:13" s="239" customFormat="1" ht="13" customHeight="1">
      <c r="A307" s="4"/>
      <c r="B307" s="240"/>
      <c r="C307" s="234" t="s">
        <v>481</v>
      </c>
      <c r="D307" s="465">
        <f>INDEX(Tragwerk!G78:I78,1,MATCH(Eingabe!$C$4,Tragwerk!$B$14:$D$14))</f>
        <v>471.05127459020582</v>
      </c>
      <c r="E307" s="237" t="s">
        <v>2</v>
      </c>
      <c r="F307" s="27"/>
      <c r="G307" s="527" t="s">
        <v>1324</v>
      </c>
      <c r="H307" s="240"/>
      <c r="I307" s="240"/>
      <c r="J307" s="240"/>
      <c r="K307" s="4"/>
      <c r="L307" s="224"/>
      <c r="M307" s="17"/>
    </row>
    <row r="308" spans="1:13" s="239" customFormat="1" ht="13" customHeight="1">
      <c r="A308" s="4"/>
      <c r="B308" s="240"/>
      <c r="C308" s="234" t="s">
        <v>482</v>
      </c>
      <c r="D308" s="237">
        <f>INDEX(Tragwerk!G79:I79,1,MATCH(Eingabe!$C$4,Tragwerk!$B$14:$D$14))</f>
        <v>3976200</v>
      </c>
      <c r="E308" s="19" t="s">
        <v>16</v>
      </c>
      <c r="F308" s="27"/>
      <c r="G308" s="527" t="s">
        <v>1324</v>
      </c>
      <c r="H308" s="240"/>
      <c r="I308" s="240"/>
      <c r="J308" s="240"/>
      <c r="K308" s="4"/>
      <c r="L308" s="224"/>
      <c r="M308" s="17"/>
    </row>
    <row r="309" spans="1:13" s="239" customFormat="1" ht="13" customHeight="1">
      <c r="A309" s="4"/>
      <c r="B309" s="240"/>
      <c r="C309" s="234" t="s">
        <v>483</v>
      </c>
      <c r="D309" s="237">
        <f>INDEX(Tragwerk!G80:I80,1,MATCH(Eingabe!$C$4,Tragwerk!$B$14:$D$14))</f>
        <v>564000</v>
      </c>
      <c r="E309" s="19" t="s">
        <v>16</v>
      </c>
      <c r="F309" s="27"/>
      <c r="G309" s="527" t="s">
        <v>1324</v>
      </c>
      <c r="H309" s="240"/>
      <c r="I309" s="240"/>
      <c r="J309" s="240"/>
      <c r="K309" s="4"/>
      <c r="L309" s="224"/>
      <c r="M309" s="17"/>
    </row>
    <row r="310" spans="1:13" s="239" customFormat="1" ht="13" customHeight="1">
      <c r="A310" s="4"/>
      <c r="B310" s="240"/>
      <c r="C310" s="234" t="s">
        <v>485</v>
      </c>
      <c r="D310" s="465">
        <f>INDEX(Tragwerk!G82:I82,1,MATCH(Eingabe!$C$4,Tragwerk!$B$14:$D$14))</f>
        <v>2.6551836094703507</v>
      </c>
      <c r="E310" s="19" t="s">
        <v>7</v>
      </c>
      <c r="F310" s="27"/>
      <c r="G310" s="527" t="s">
        <v>1324</v>
      </c>
      <c r="H310" s="240"/>
      <c r="I310" s="240"/>
      <c r="J310" s="240"/>
      <c r="K310" s="4"/>
      <c r="L310" s="224"/>
      <c r="M310" s="17"/>
    </row>
    <row r="311" spans="1:13" s="239" customFormat="1" ht="13" customHeight="1">
      <c r="A311" s="4"/>
      <c r="B311" s="240"/>
      <c r="C311" s="234" t="s">
        <v>488</v>
      </c>
      <c r="D311" s="465">
        <f>Tragwerk!G85</f>
        <v>1.2</v>
      </c>
      <c r="E311" s="19" t="s">
        <v>7</v>
      </c>
      <c r="F311" s="27"/>
      <c r="G311" s="527" t="s">
        <v>1324</v>
      </c>
      <c r="H311" s="240"/>
      <c r="I311" s="240"/>
      <c r="J311" s="240"/>
      <c r="K311" s="4"/>
      <c r="L311" s="224"/>
      <c r="M311" s="17"/>
    </row>
    <row r="312" spans="1:13" s="239" customFormat="1" ht="13" customHeight="1">
      <c r="A312" s="4"/>
      <c r="B312" s="240"/>
      <c r="C312" s="234" t="s">
        <v>489</v>
      </c>
      <c r="D312" s="465">
        <f>INDEX(Tragwerk!G86:I86,1,MATCH(Eingabe!$C$4,Tragwerk!$B$14:$D$14))</f>
        <v>212.88980825736712</v>
      </c>
      <c r="E312" s="237" t="s">
        <v>2</v>
      </c>
      <c r="F312" s="27"/>
      <c r="G312" s="527" t="s">
        <v>1324</v>
      </c>
      <c r="H312" s="240"/>
      <c r="I312" s="240"/>
      <c r="J312" s="240"/>
      <c r="K312" s="4"/>
      <c r="L312" s="224"/>
      <c r="M312" s="17"/>
    </row>
    <row r="313" spans="1:13" s="239" customFormat="1" ht="13" customHeight="1">
      <c r="A313" s="4"/>
      <c r="B313" s="240"/>
      <c r="C313" s="234" t="s">
        <v>12</v>
      </c>
      <c r="D313" s="465">
        <f>Tragwerk!G87</f>
        <v>1.2</v>
      </c>
      <c r="E313" s="19" t="s">
        <v>7</v>
      </c>
      <c r="F313" s="27"/>
      <c r="G313" s="527" t="s">
        <v>1324</v>
      </c>
      <c r="H313" s="240"/>
      <c r="I313" s="240"/>
      <c r="J313" s="240"/>
      <c r="K313" s="4"/>
      <c r="L313" s="224"/>
      <c r="M313" s="17"/>
    </row>
    <row r="314" spans="1:13" s="239" customFormat="1" ht="13" customHeight="1">
      <c r="A314" s="4"/>
      <c r="B314" s="240"/>
      <c r="C314" s="234" t="s">
        <v>507</v>
      </c>
      <c r="D314" s="465">
        <f>INDEX(Tragwerk!G88:I88,1,MATCH(Eingabe!$C$4,Tragwerk!$B$14:$D$14))</f>
        <v>177.40817354780594</v>
      </c>
      <c r="E314" s="237" t="s">
        <v>2</v>
      </c>
      <c r="F314" s="27"/>
      <c r="G314" s="527" t="s">
        <v>73</v>
      </c>
      <c r="H314" s="240"/>
      <c r="I314" s="240"/>
      <c r="J314" s="240"/>
      <c r="K314" s="4"/>
      <c r="L314" s="224"/>
      <c r="M314" s="17"/>
    </row>
    <row r="315" spans="1:13" s="239" customFormat="1" ht="13" customHeight="1">
      <c r="A315" s="4"/>
      <c r="B315" s="240"/>
      <c r="C315" s="527" t="s">
        <v>303</v>
      </c>
      <c r="D315" s="465">
        <f>Tragwerk!G91</f>
        <v>27.194109375</v>
      </c>
      <c r="E315" s="237" t="s">
        <v>2</v>
      </c>
      <c r="F315" s="27"/>
      <c r="G315" s="527" t="s">
        <v>75</v>
      </c>
      <c r="H315" s="240"/>
      <c r="I315" s="240"/>
      <c r="J315" s="240"/>
      <c r="K315" s="4"/>
      <c r="L315" s="224"/>
      <c r="M315" s="17"/>
    </row>
    <row r="316" spans="1:13" s="239" customFormat="1" ht="13" customHeight="1">
      <c r="A316" s="4"/>
      <c r="B316" s="240"/>
      <c r="C316" s="25" t="s">
        <v>508</v>
      </c>
      <c r="D316" s="466">
        <f>D315/D314</f>
        <v>0.1532855495390805</v>
      </c>
      <c r="E316" s="520" t="s">
        <v>7</v>
      </c>
      <c r="F316" s="27"/>
      <c r="G316" s="24" t="s">
        <v>46</v>
      </c>
      <c r="H316" s="240"/>
      <c r="I316" s="240"/>
      <c r="J316" s="240"/>
      <c r="K316" s="4"/>
      <c r="L316" s="224"/>
      <c r="M316" s="17"/>
    </row>
    <row r="317" spans="1:13" s="239" customFormat="1" ht="5.5" customHeight="1">
      <c r="A317" s="4"/>
      <c r="B317" s="240"/>
      <c r="C317" s="240"/>
      <c r="D317" s="240"/>
      <c r="E317" s="240"/>
      <c r="F317" s="240"/>
      <c r="G317" s="240"/>
      <c r="H317" s="240"/>
      <c r="I317" s="240"/>
      <c r="J317" s="240"/>
      <c r="K317" s="4"/>
      <c r="L317" s="224"/>
      <c r="M317" s="17"/>
    </row>
    <row r="318" spans="1:13" s="239" customFormat="1" ht="13" customHeight="1">
      <c r="A318" s="1032" t="s">
        <v>521</v>
      </c>
      <c r="B318" s="1032"/>
      <c r="C318" s="1032"/>
      <c r="D318" s="1032"/>
      <c r="E318" s="1032"/>
      <c r="F318" s="1032"/>
      <c r="G318" s="1032"/>
      <c r="H318" s="1032"/>
      <c r="I318" s="1032"/>
      <c r="J318" s="1032"/>
      <c r="K318" s="520"/>
      <c r="L318" s="224"/>
      <c r="M318" s="17"/>
    </row>
    <row r="319" spans="1:13" s="239" customFormat="1" ht="5.5" customHeight="1">
      <c r="A319" s="4"/>
      <c r="B319" s="240"/>
      <c r="C319" s="240"/>
      <c r="D319" s="240"/>
      <c r="E319" s="240"/>
      <c r="F319" s="240"/>
      <c r="G319" s="240"/>
      <c r="H319" s="240"/>
      <c r="I319" s="240"/>
      <c r="J319" s="240"/>
      <c r="K319" s="4"/>
      <c r="L319" s="224"/>
      <c r="M319" s="17"/>
    </row>
    <row r="320" spans="1:13" s="239" customFormat="1" ht="13" customHeight="1">
      <c r="A320" s="4"/>
      <c r="B320" s="240"/>
      <c r="C320" s="23" t="s">
        <v>85</v>
      </c>
      <c r="D320" s="465">
        <f>INDEX(Tragwerk!G96:I96,1,MATCH(Eingabe!$C$4,Tragwerk!$G$14:$I$14))</f>
        <v>6.1943013280388912E-2</v>
      </c>
      <c r="E320" s="19" t="s">
        <v>7</v>
      </c>
      <c r="F320" s="17"/>
      <c r="G320" s="527" t="s">
        <v>515</v>
      </c>
      <c r="H320" s="240"/>
      <c r="I320" s="240"/>
      <c r="J320" s="240"/>
      <c r="K320" s="4"/>
      <c r="L320" s="224"/>
      <c r="M320" s="17"/>
    </row>
    <row r="321" spans="1:13" s="239" customFormat="1" ht="13" customHeight="1">
      <c r="A321" s="4"/>
      <c r="B321" s="240"/>
      <c r="C321" s="23" t="s">
        <v>87</v>
      </c>
      <c r="D321" s="465">
        <f>INDEX(Tragwerk!G97:I97,1,MATCH(Eingabe!$C$4,Tragwerk!$G$14:$I$14))</f>
        <v>0.8924738441650697</v>
      </c>
      <c r="E321" s="19" t="s">
        <v>7</v>
      </c>
      <c r="F321" s="17"/>
      <c r="G321" s="527" t="s">
        <v>519</v>
      </c>
      <c r="H321" s="240"/>
      <c r="I321" s="240"/>
      <c r="J321" s="240"/>
      <c r="K321" s="4"/>
      <c r="L321" s="224"/>
      <c r="M321" s="17"/>
    </row>
    <row r="322" spans="1:13" s="239" customFormat="1" ht="2.2999999999999998" customHeight="1">
      <c r="A322" s="4"/>
      <c r="B322" s="240"/>
      <c r="C322" s="23"/>
      <c r="D322" s="237"/>
      <c r="E322" s="19"/>
      <c r="F322" s="17"/>
      <c r="G322" s="17"/>
      <c r="H322" s="240"/>
      <c r="I322" s="240"/>
      <c r="J322" s="240"/>
      <c r="K322" s="4"/>
      <c r="L322" s="224"/>
      <c r="M322" s="17"/>
    </row>
    <row r="323" spans="1:13" s="239" customFormat="1" ht="13" customHeight="1">
      <c r="A323" s="17"/>
      <c r="B323" s="17"/>
      <c r="C323" s="25" t="s">
        <v>548</v>
      </c>
      <c r="D323" s="26">
        <f>INDEX(Tragwerk!G99:I99,1,MATCH(Eingabe!$C$4,Tragwerk!$G$14:$I$14))</f>
        <v>0.79534738120454884</v>
      </c>
      <c r="E323" s="520" t="s">
        <v>7</v>
      </c>
      <c r="F323" s="27"/>
      <c r="G323" s="27" t="s">
        <v>1324</v>
      </c>
      <c r="H323" s="20"/>
      <c r="I323" s="17"/>
      <c r="J323" s="17"/>
      <c r="K323" s="17"/>
      <c r="L323" s="224"/>
      <c r="M323" s="17"/>
    </row>
    <row r="324" spans="1:13" s="239" customFormat="1" ht="5.5" customHeight="1">
      <c r="A324" s="17"/>
      <c r="B324" s="17"/>
      <c r="C324" s="25"/>
      <c r="D324" s="26"/>
      <c r="E324" s="520"/>
      <c r="F324" s="27"/>
      <c r="G324" s="27"/>
      <c r="H324" s="20"/>
      <c r="I324" s="17"/>
      <c r="J324" s="17"/>
      <c r="K324" s="17"/>
      <c r="L324" s="224"/>
      <c r="M324" s="17"/>
    </row>
    <row r="325" spans="1:13" s="239" customFormat="1" ht="13" customHeight="1">
      <c r="A325" s="1033" t="s">
        <v>299</v>
      </c>
      <c r="B325" s="1033"/>
      <c r="C325" s="1033"/>
      <c r="D325" s="1033"/>
      <c r="E325" s="1033"/>
      <c r="F325" s="1033"/>
      <c r="G325" s="1033"/>
      <c r="H325" s="1033"/>
      <c r="I325" s="1033"/>
      <c r="J325" s="1033"/>
      <c r="K325" s="502"/>
      <c r="L325" s="224"/>
      <c r="M325" s="17"/>
    </row>
    <row r="326" spans="1:13" s="239" customFormat="1" ht="5.9" customHeight="1">
      <c r="A326" s="4"/>
      <c r="B326" s="240"/>
      <c r="C326" s="240"/>
      <c r="D326" s="240"/>
      <c r="E326" s="240"/>
      <c r="F326" s="240"/>
      <c r="G326" s="240"/>
      <c r="H326" s="240"/>
      <c r="I326" s="240"/>
      <c r="J326" s="240"/>
      <c r="K326" s="4"/>
      <c r="L326" s="224"/>
      <c r="M326" s="17"/>
    </row>
    <row r="327" spans="1:13" s="239" customFormat="1" ht="13" customHeight="1">
      <c r="A327" s="1032" t="s">
        <v>514</v>
      </c>
      <c r="B327" s="1032"/>
      <c r="C327" s="1032"/>
      <c r="D327" s="1032"/>
      <c r="E327" s="1032"/>
      <c r="F327" s="1032"/>
      <c r="G327" s="1032"/>
      <c r="H327" s="1032"/>
      <c r="I327" s="1032"/>
      <c r="J327" s="1032"/>
      <c r="K327" s="520"/>
      <c r="L327" s="224"/>
      <c r="M327" s="17"/>
    </row>
    <row r="328" spans="1:13" s="239" customFormat="1" ht="13" customHeight="1">
      <c r="A328" s="17"/>
      <c r="B328" s="14" t="s">
        <v>1</v>
      </c>
      <c r="C328" s="232"/>
      <c r="D328" s="232"/>
      <c r="E328" s="232"/>
      <c r="F328" s="17"/>
      <c r="G328" s="527"/>
      <c r="H328" s="527"/>
      <c r="I328" s="527"/>
      <c r="J328" s="527"/>
      <c r="K328" s="17"/>
      <c r="L328" s="224"/>
      <c r="M328" s="17"/>
    </row>
    <row r="329" spans="1:13" s="239" customFormat="1" ht="13" customHeight="1">
      <c r="A329" s="17"/>
      <c r="B329" s="17"/>
      <c r="C329" s="527" t="s">
        <v>4</v>
      </c>
      <c r="D329" s="21">
        <f>INDEX(Kappe!G17:I17,1,MATCH(Eingabe!$C$4,Kappe!$G$12:$I$12))</f>
        <v>247</v>
      </c>
      <c r="E329" s="19" t="s">
        <v>2</v>
      </c>
      <c r="F329" s="17"/>
      <c r="G329" s="527" t="s">
        <v>361</v>
      </c>
      <c r="H329" s="527"/>
      <c r="I329" s="527"/>
      <c r="J329" s="527"/>
      <c r="K329" s="17"/>
      <c r="L329" s="224"/>
      <c r="M329" s="17"/>
    </row>
    <row r="330" spans="1:13" s="239" customFormat="1" ht="13" customHeight="1">
      <c r="A330" s="17"/>
      <c r="B330" s="17"/>
      <c r="C330" s="17" t="s">
        <v>3</v>
      </c>
      <c r="D330" s="21">
        <f>Kappe!$G$18</f>
        <v>1.87</v>
      </c>
      <c r="E330" s="19" t="s">
        <v>7</v>
      </c>
      <c r="F330" s="17"/>
      <c r="G330" s="527" t="s">
        <v>359</v>
      </c>
      <c r="H330" s="527"/>
      <c r="I330" s="527"/>
      <c r="J330" s="527"/>
      <c r="K330" s="17"/>
      <c r="L330" s="224"/>
      <c r="M330" s="17"/>
    </row>
    <row r="331" spans="1:13" s="239" customFormat="1" ht="13" customHeight="1">
      <c r="A331" s="17"/>
      <c r="B331" s="17"/>
      <c r="C331" s="527" t="s">
        <v>64</v>
      </c>
      <c r="D331" s="21">
        <f>INDEX(Kappe!G19:I19,1,MATCH(Eingabe!$C$4,Kappe!$G$12:$I$12))</f>
        <v>132.08556149732618</v>
      </c>
      <c r="E331" s="19" t="s">
        <v>2</v>
      </c>
      <c r="F331" s="17"/>
      <c r="G331" s="527" t="s">
        <v>73</v>
      </c>
      <c r="H331" s="527"/>
      <c r="I331" s="527"/>
      <c r="J331" s="527"/>
      <c r="K331" s="17"/>
      <c r="L331" s="224"/>
      <c r="M331" s="17"/>
    </row>
    <row r="332" spans="1:13" s="239" customFormat="1" ht="13" customHeight="1">
      <c r="A332" s="17"/>
      <c r="B332" s="17"/>
      <c r="C332" s="527" t="s">
        <v>302</v>
      </c>
      <c r="D332" s="21">
        <f>Kappe!$G$53</f>
        <v>3.3432704953967556</v>
      </c>
      <c r="E332" s="19" t="s">
        <v>2</v>
      </c>
      <c r="F332" s="17"/>
      <c r="G332" s="527" t="s">
        <v>75</v>
      </c>
      <c r="H332" s="527"/>
      <c r="I332" s="527"/>
      <c r="J332" s="527"/>
      <c r="K332" s="17"/>
      <c r="L332" s="224"/>
      <c r="M332" s="17"/>
    </row>
    <row r="333" spans="1:13" s="239" customFormat="1" ht="13" customHeight="1">
      <c r="A333" s="17"/>
      <c r="B333" s="17"/>
      <c r="C333" s="25" t="s">
        <v>88</v>
      </c>
      <c r="D333" s="26">
        <f>D332/D331</f>
        <v>2.5311400106849936E-2</v>
      </c>
      <c r="E333" s="520" t="s">
        <v>7</v>
      </c>
      <c r="F333" s="27"/>
      <c r="G333" s="24" t="s">
        <v>46</v>
      </c>
      <c r="H333" s="527"/>
      <c r="I333" s="527"/>
      <c r="J333" s="527"/>
      <c r="K333" s="17"/>
      <c r="L333" s="224"/>
      <c r="M333" s="17"/>
    </row>
    <row r="334" spans="1:13" s="239" customFormat="1" ht="5.9" customHeight="1">
      <c r="A334" s="4"/>
      <c r="B334" s="240"/>
      <c r="C334" s="240"/>
      <c r="D334" s="240"/>
      <c r="E334" s="240"/>
      <c r="F334" s="240"/>
      <c r="G334" s="240"/>
      <c r="H334" s="240"/>
      <c r="I334" s="240"/>
      <c r="J334" s="240"/>
      <c r="K334" s="4"/>
      <c r="L334" s="224"/>
      <c r="M334" s="17"/>
    </row>
    <row r="335" spans="1:13" s="239" customFormat="1" ht="13" customHeight="1">
      <c r="A335" s="17"/>
      <c r="B335" s="233" t="s">
        <v>5</v>
      </c>
      <c r="C335" s="19"/>
      <c r="D335" s="19"/>
      <c r="E335" s="17"/>
      <c r="F335" s="17"/>
      <c r="G335" s="527"/>
      <c r="H335" s="527"/>
      <c r="I335" s="527"/>
      <c r="J335" s="225"/>
      <c r="K335" s="224"/>
      <c r="L335" s="224"/>
      <c r="M335" s="17"/>
    </row>
    <row r="336" spans="1:13" s="239" customFormat="1" ht="13" customHeight="1">
      <c r="A336" s="17"/>
      <c r="B336" s="233"/>
      <c r="C336" s="234" t="s">
        <v>115</v>
      </c>
      <c r="D336" s="18">
        <f>INDEX(Kappe!G21:I21,1,MATCH(Eingabe!$C$4,Kappe!$G$12:$I$12))</f>
        <v>565</v>
      </c>
      <c r="E336" s="19" t="s">
        <v>16</v>
      </c>
      <c r="F336" s="17"/>
      <c r="G336" s="528" t="s">
        <v>137</v>
      </c>
      <c r="H336" s="527"/>
      <c r="I336" s="527"/>
      <c r="J336" s="225"/>
      <c r="K336" s="224"/>
      <c r="L336" s="224"/>
      <c r="M336" s="17"/>
    </row>
    <row r="337" spans="1:13" s="239" customFormat="1" ht="13" customHeight="1">
      <c r="A337" s="17"/>
      <c r="B337" s="233"/>
      <c r="C337" s="667" t="s">
        <v>1152</v>
      </c>
      <c r="D337" s="669">
        <f>Eingabe!N3</f>
        <v>1</v>
      </c>
      <c r="E337" s="19" t="s">
        <v>7</v>
      </c>
      <c r="F337" s="217"/>
      <c r="G337" s="527" t="s">
        <v>1151</v>
      </c>
      <c r="H337" s="527"/>
      <c r="I337" s="527"/>
      <c r="J337" s="225"/>
      <c r="K337" s="224"/>
      <c r="L337" s="224"/>
      <c r="M337" s="17"/>
    </row>
    <row r="338" spans="1:13" s="239" customFormat="1" ht="13" customHeight="1">
      <c r="A338" s="17"/>
      <c r="B338" s="233"/>
      <c r="C338" s="234" t="s">
        <v>6</v>
      </c>
      <c r="D338" s="21">
        <f>INDEX(Kappe!G22:I22,1,MATCH(Eingabe!$C$4,Kappe!$G$12:$I$12))</f>
        <v>101.7</v>
      </c>
      <c r="E338" s="19" t="s">
        <v>2</v>
      </c>
      <c r="F338" s="17"/>
      <c r="G338" s="527" t="s">
        <v>1324</v>
      </c>
      <c r="H338" s="527"/>
      <c r="I338" s="527"/>
      <c r="J338" s="225"/>
      <c r="K338" s="224"/>
      <c r="L338" s="224"/>
      <c r="M338" s="17"/>
    </row>
    <row r="339" spans="1:13" s="239" customFormat="1" ht="13" customHeight="1">
      <c r="A339" s="17"/>
      <c r="B339" s="233"/>
      <c r="C339" s="234" t="s">
        <v>108</v>
      </c>
      <c r="D339" s="18">
        <f>Kappe!G23</f>
        <v>1.2</v>
      </c>
      <c r="E339" s="19" t="s">
        <v>7</v>
      </c>
      <c r="F339" s="17"/>
      <c r="G339" s="527" t="s">
        <v>1324</v>
      </c>
      <c r="H339" s="527"/>
      <c r="I339" s="527"/>
      <c r="J339" s="225"/>
      <c r="K339" s="224"/>
      <c r="L339" s="224"/>
      <c r="M339" s="17"/>
    </row>
    <row r="340" spans="1:13" s="239" customFormat="1" ht="13" customHeight="1">
      <c r="A340" s="17"/>
      <c r="B340" s="233"/>
      <c r="C340" s="234" t="s">
        <v>123</v>
      </c>
      <c r="D340" s="21">
        <f>INDEX(Kappe!G24:I24,1,MATCH(Eingabe!$C$4,Kappe!$G$12:$I$12))</f>
        <v>84.75</v>
      </c>
      <c r="E340" s="19" t="s">
        <v>2</v>
      </c>
      <c r="F340" s="17"/>
      <c r="G340" s="527" t="s">
        <v>73</v>
      </c>
      <c r="H340" s="527"/>
      <c r="I340" s="527"/>
      <c r="J340" s="225"/>
      <c r="K340" s="224"/>
      <c r="L340" s="224"/>
      <c r="M340" s="17"/>
    </row>
    <row r="341" spans="1:13" s="239" customFormat="1" ht="13" customHeight="1">
      <c r="A341" s="17"/>
      <c r="B341" s="233"/>
      <c r="C341" s="527" t="s">
        <v>302</v>
      </c>
      <c r="D341" s="21">
        <f>Kappe!$G$53</f>
        <v>3.3432704953967556</v>
      </c>
      <c r="E341" s="19" t="s">
        <v>2</v>
      </c>
      <c r="F341" s="17"/>
      <c r="G341" s="527" t="s">
        <v>75</v>
      </c>
      <c r="H341" s="527"/>
      <c r="I341" s="527"/>
      <c r="J341" s="225"/>
      <c r="K341" s="224"/>
      <c r="L341" s="224"/>
      <c r="M341" s="17"/>
    </row>
    <row r="342" spans="1:13" s="239" customFormat="1" ht="13" customHeight="1">
      <c r="A342" s="17"/>
      <c r="B342" s="233"/>
      <c r="C342" s="25" t="s">
        <v>122</v>
      </c>
      <c r="D342" s="26">
        <f>D341/D340</f>
        <v>3.9448619414710978E-2</v>
      </c>
      <c r="E342" s="520" t="s">
        <v>7</v>
      </c>
      <c r="F342" s="27"/>
      <c r="G342" s="24" t="s">
        <v>46</v>
      </c>
      <c r="H342" s="527"/>
      <c r="I342" s="527"/>
      <c r="J342" s="225"/>
      <c r="K342" s="224"/>
      <c r="L342" s="224"/>
      <c r="M342" s="17"/>
    </row>
    <row r="343" spans="1:13" s="239" customFormat="1" ht="5.9" customHeight="1">
      <c r="A343" s="4"/>
      <c r="B343" s="240"/>
      <c r="C343" s="240"/>
      <c r="D343" s="240"/>
      <c r="E343" s="240"/>
      <c r="F343" s="240"/>
      <c r="G343" s="240"/>
      <c r="H343" s="240"/>
      <c r="I343" s="240"/>
      <c r="J343" s="242"/>
      <c r="K343" s="228"/>
      <c r="L343" s="224"/>
      <c r="M343" s="17"/>
    </row>
    <row r="344" spans="1:13" s="239" customFormat="1" ht="13" customHeight="1">
      <c r="A344" s="224"/>
      <c r="B344" s="233" t="s">
        <v>8</v>
      </c>
      <c r="C344" s="19"/>
      <c r="D344" s="19"/>
      <c r="E344" s="17"/>
      <c r="F344" s="17"/>
      <c r="G344" s="527"/>
      <c r="H344" s="527"/>
      <c r="I344" s="527"/>
      <c r="J344" s="225"/>
      <c r="K344" s="224"/>
      <c r="L344" s="224"/>
      <c r="M344" s="17"/>
    </row>
    <row r="345" spans="1:13" s="239" customFormat="1" ht="13" customHeight="1">
      <c r="A345" s="224"/>
      <c r="B345" s="17"/>
      <c r="C345" s="527" t="s">
        <v>78</v>
      </c>
      <c r="D345" s="21">
        <f>INDEX(Kappe!G27:I27,1,MATCH(Eingabe!$C$4,Kappe!$G$12:$I$12))</f>
        <v>30.846077222233625</v>
      </c>
      <c r="E345" s="19" t="s">
        <v>2</v>
      </c>
      <c r="F345" s="17"/>
      <c r="G345" s="527" t="s">
        <v>1324</v>
      </c>
      <c r="H345" s="527"/>
      <c r="I345" s="527"/>
      <c r="J345" s="225"/>
      <c r="K345" s="224"/>
      <c r="L345" s="224"/>
      <c r="M345" s="17"/>
    </row>
    <row r="346" spans="1:13" s="239" customFormat="1" ht="13" customHeight="1">
      <c r="A346" s="224"/>
      <c r="B346" s="17"/>
      <c r="C346" s="527" t="s">
        <v>79</v>
      </c>
      <c r="D346" s="20">
        <f>INDEX(Kappe!G28:I28,1,MATCH(Eingabe!$C$4,Kappe!$G$12:$I$12))</f>
        <v>51984</v>
      </c>
      <c r="E346" s="19" t="s">
        <v>16</v>
      </c>
      <c r="F346" s="17"/>
      <c r="G346" s="527" t="s">
        <v>1324</v>
      </c>
      <c r="H346" s="527"/>
      <c r="I346" s="527"/>
      <c r="J346" s="225"/>
      <c r="K346" s="224"/>
      <c r="L346" s="224"/>
      <c r="M346" s="17"/>
    </row>
    <row r="347" spans="1:13" s="239" customFormat="1" ht="13" customHeight="1">
      <c r="A347" s="224"/>
      <c r="B347" s="17"/>
      <c r="C347" s="527" t="s">
        <v>80</v>
      </c>
      <c r="D347" s="20">
        <f>INDEX(Kappe!G29:I29,1,MATCH(Eingabe!$C$4,Kappe!$G$12:$I$12))</f>
        <v>69168</v>
      </c>
      <c r="E347" s="19" t="s">
        <v>16</v>
      </c>
      <c r="F347" s="17"/>
      <c r="G347" s="527" t="s">
        <v>1324</v>
      </c>
      <c r="H347" s="527"/>
      <c r="I347" s="527"/>
      <c r="J347" s="225"/>
      <c r="K347" s="224"/>
      <c r="L347" s="224"/>
      <c r="M347" s="17"/>
    </row>
    <row r="348" spans="1:13" s="239" customFormat="1" ht="13" customHeight="1">
      <c r="A348" s="224"/>
      <c r="B348" s="17"/>
      <c r="C348" s="527" t="s">
        <v>10</v>
      </c>
      <c r="D348" s="21">
        <f>Kappe!$G$26</f>
        <v>8.5</v>
      </c>
      <c r="E348" s="19" t="s">
        <v>7</v>
      </c>
      <c r="F348" s="17"/>
      <c r="G348" s="527" t="s">
        <v>1324</v>
      </c>
      <c r="H348" s="527"/>
      <c r="I348" s="527"/>
      <c r="J348" s="225"/>
      <c r="K348" s="224"/>
      <c r="L348" s="224"/>
      <c r="M348" s="17"/>
    </row>
    <row r="349" spans="1:13" s="239" customFormat="1" ht="13" customHeight="1">
      <c r="A349" s="224"/>
      <c r="B349" s="17"/>
      <c r="C349" s="23" t="s">
        <v>81</v>
      </c>
      <c r="D349" s="21">
        <f>INDEX(Kappe!G30:I30,1,MATCH(Eingabe!$C$4,Kappe!$G$12:$I$12))</f>
        <v>1</v>
      </c>
      <c r="E349" s="19" t="s">
        <v>7</v>
      </c>
      <c r="F349" s="17"/>
      <c r="G349" s="527" t="s">
        <v>1324</v>
      </c>
      <c r="H349" s="527"/>
      <c r="I349" s="527"/>
      <c r="J349" s="225"/>
      <c r="K349" s="224"/>
      <c r="L349" s="224"/>
      <c r="M349" s="17"/>
    </row>
    <row r="350" spans="1:13" s="239" customFormat="1" ht="13" customHeight="1">
      <c r="A350" s="224"/>
      <c r="B350" s="17"/>
      <c r="C350" s="23" t="s">
        <v>82</v>
      </c>
      <c r="D350" s="21">
        <f>INDEX(Kappe!G31:I31,1,MATCH(Eingabe!$C$4,Kappe!$G$12:$I$12))</f>
        <v>1</v>
      </c>
      <c r="E350" s="19" t="s">
        <v>7</v>
      </c>
      <c r="F350" s="17"/>
      <c r="G350" s="527" t="s">
        <v>1324</v>
      </c>
      <c r="H350" s="527"/>
      <c r="I350" s="527"/>
      <c r="J350" s="225"/>
      <c r="K350" s="224"/>
      <c r="L350" s="224"/>
      <c r="M350" s="17"/>
    </row>
    <row r="351" spans="1:13" s="239" customFormat="1" ht="13" customHeight="1">
      <c r="A351" s="224"/>
      <c r="B351" s="17"/>
      <c r="C351" s="23" t="s">
        <v>83</v>
      </c>
      <c r="D351" s="21">
        <f>INDEX(Kappe!G32:I32,1,MATCH(Eingabe!$C$4,Kappe!$G$12:$I$12))</f>
        <v>1</v>
      </c>
      <c r="E351" s="19" t="s">
        <v>7</v>
      </c>
      <c r="F351" s="17"/>
      <c r="G351" s="527" t="s">
        <v>1324</v>
      </c>
      <c r="H351" s="527"/>
      <c r="I351" s="527"/>
      <c r="J351" s="225"/>
      <c r="K351" s="224"/>
      <c r="L351" s="224"/>
      <c r="M351" s="17"/>
    </row>
    <row r="352" spans="1:13" s="239" customFormat="1" ht="13" customHeight="1">
      <c r="A352" s="224"/>
      <c r="B352" s="17"/>
      <c r="C352" s="23" t="s">
        <v>84</v>
      </c>
      <c r="D352" s="21">
        <f>INDEX(Kappe!G33:I33,1,MATCH(Eingabe!$C$4,Kappe!$G$12:$I$12))</f>
        <v>1</v>
      </c>
      <c r="E352" s="19" t="s">
        <v>7</v>
      </c>
      <c r="F352" s="17"/>
      <c r="G352" s="527" t="s">
        <v>1324</v>
      </c>
      <c r="H352" s="527"/>
      <c r="I352" s="527"/>
      <c r="J352" s="225"/>
      <c r="K352" s="224"/>
      <c r="L352" s="224"/>
      <c r="M352" s="17"/>
    </row>
    <row r="353" spans="1:13" s="239" customFormat="1" ht="13" customHeight="1">
      <c r="A353" s="224"/>
      <c r="B353" s="17"/>
      <c r="C353" s="667" t="s">
        <v>1152</v>
      </c>
      <c r="D353" s="669">
        <f>Eingabe!N3</f>
        <v>1</v>
      </c>
      <c r="E353" s="19" t="s">
        <v>7</v>
      </c>
      <c r="F353" s="217"/>
      <c r="G353" s="527" t="s">
        <v>1151</v>
      </c>
      <c r="H353" s="527"/>
      <c r="I353" s="527"/>
      <c r="J353" s="225"/>
      <c r="K353" s="224"/>
      <c r="L353" s="224"/>
      <c r="M353" s="17"/>
    </row>
    <row r="354" spans="1:13" s="239" customFormat="1" ht="13" customHeight="1">
      <c r="A354" s="224"/>
      <c r="B354" s="17"/>
      <c r="C354" s="527" t="s">
        <v>77</v>
      </c>
      <c r="D354" s="21">
        <f>INDEX(Kappe!G34:I34,1,MATCH(Eingabe!$C$4,Kappe!$G$12:$I$12))</f>
        <v>41.042656765686658</v>
      </c>
      <c r="E354" s="19" t="s">
        <v>2</v>
      </c>
      <c r="F354" s="17"/>
      <c r="G354" s="527" t="s">
        <v>1324</v>
      </c>
      <c r="H354" s="527"/>
      <c r="I354" s="527"/>
      <c r="J354" s="225"/>
      <c r="K354" s="224"/>
      <c r="L354" s="224"/>
      <c r="M354" s="17"/>
    </row>
    <row r="355" spans="1:13" s="239" customFormat="1" ht="13" customHeight="1">
      <c r="A355" s="224"/>
      <c r="B355" s="17"/>
      <c r="C355" s="17" t="s">
        <v>12</v>
      </c>
      <c r="D355" s="21">
        <f>Kappe!$G$35</f>
        <v>1.2</v>
      </c>
      <c r="E355" s="19" t="s">
        <v>7</v>
      </c>
      <c r="F355" s="17"/>
      <c r="G355" s="527" t="s">
        <v>1324</v>
      </c>
      <c r="H355" s="527"/>
      <c r="I355" s="527"/>
      <c r="J355" s="225"/>
      <c r="K355" s="224"/>
      <c r="L355" s="224"/>
      <c r="M355" s="17"/>
    </row>
    <row r="356" spans="1:13" s="239" customFormat="1" ht="13" customHeight="1">
      <c r="A356" s="224"/>
      <c r="B356" s="17"/>
      <c r="C356" s="527" t="s">
        <v>71</v>
      </c>
      <c r="D356" s="21">
        <f>INDEX(Kappe!G36:I36,1,MATCH(Eingabe!$C$4,Kappe!$G$12:$I$12))</f>
        <v>34.202213971405548</v>
      </c>
      <c r="E356" s="19" t="s">
        <v>2</v>
      </c>
      <c r="F356" s="17"/>
      <c r="G356" s="527" t="s">
        <v>73</v>
      </c>
      <c r="H356" s="527"/>
      <c r="I356" s="527"/>
      <c r="J356" s="225"/>
      <c r="K356" s="224"/>
      <c r="L356" s="224"/>
      <c r="M356" s="17"/>
    </row>
    <row r="357" spans="1:13" s="239" customFormat="1" ht="13" customHeight="1">
      <c r="A357" s="224"/>
      <c r="B357" s="17"/>
      <c r="C357" s="527" t="s">
        <v>302</v>
      </c>
      <c r="D357" s="21">
        <f>Kappe!$G$53</f>
        <v>3.3432704953967556</v>
      </c>
      <c r="E357" s="19" t="s">
        <v>2</v>
      </c>
      <c r="F357" s="17"/>
      <c r="G357" s="527" t="s">
        <v>75</v>
      </c>
      <c r="H357" s="527"/>
      <c r="I357" s="527"/>
      <c r="J357" s="225"/>
      <c r="K357" s="224"/>
      <c r="L357" s="224"/>
      <c r="M357" s="17"/>
    </row>
    <row r="358" spans="1:13" s="239" customFormat="1" ht="13" customHeight="1">
      <c r="A358" s="224"/>
      <c r="B358" s="17"/>
      <c r="C358" s="25" t="s">
        <v>89</v>
      </c>
      <c r="D358" s="26">
        <f>D357/D356</f>
        <v>9.7750119281513961E-2</v>
      </c>
      <c r="E358" s="520" t="s">
        <v>7</v>
      </c>
      <c r="F358" s="27"/>
      <c r="G358" s="24" t="s">
        <v>46</v>
      </c>
      <c r="H358" s="527"/>
      <c r="I358" s="527"/>
      <c r="J358" s="225"/>
      <c r="K358" s="224"/>
      <c r="L358" s="224"/>
      <c r="M358" s="17"/>
    </row>
    <row r="359" spans="1:13" s="239" customFormat="1" ht="5.9" customHeight="1">
      <c r="A359" s="4"/>
      <c r="B359" s="240"/>
      <c r="C359" s="240"/>
      <c r="D359" s="240"/>
      <c r="E359" s="240"/>
      <c r="F359" s="240"/>
      <c r="G359" s="240"/>
      <c r="H359" s="240"/>
      <c r="I359" s="240"/>
      <c r="J359" s="240"/>
      <c r="K359" s="4"/>
      <c r="L359" s="224"/>
      <c r="M359" s="17"/>
    </row>
    <row r="360" spans="1:13" s="239" customFormat="1" ht="13" customHeight="1">
      <c r="A360" s="1032" t="s">
        <v>513</v>
      </c>
      <c r="B360" s="1032"/>
      <c r="C360" s="1032"/>
      <c r="D360" s="1032"/>
      <c r="E360" s="1032"/>
      <c r="F360" s="1032"/>
      <c r="G360" s="1032"/>
      <c r="H360" s="1032"/>
      <c r="I360" s="1032"/>
      <c r="J360" s="1032"/>
      <c r="K360" s="520"/>
      <c r="L360" s="520"/>
      <c r="M360" s="17"/>
    </row>
    <row r="361" spans="1:13" s="239" customFormat="1" ht="13" customHeight="1">
      <c r="A361" s="17"/>
      <c r="B361" s="235" t="s">
        <v>120</v>
      </c>
      <c r="C361" s="23"/>
      <c r="D361" s="18"/>
      <c r="E361" s="19"/>
      <c r="F361" s="17"/>
      <c r="G361" s="527"/>
      <c r="H361" s="20"/>
      <c r="I361" s="17"/>
      <c r="J361" s="17"/>
      <c r="K361" s="17"/>
      <c r="L361" s="520"/>
      <c r="M361" s="17"/>
    </row>
    <row r="362" spans="1:13" s="239" customFormat="1" ht="13" customHeight="1">
      <c r="A362" s="17"/>
      <c r="B362" s="17"/>
      <c r="C362" s="527" t="s">
        <v>118</v>
      </c>
      <c r="D362" s="21">
        <f>INDEX(Kappe!G58:I58,1,MATCH(Eingabe!$C$4,Kappe!$G$12:$I$12))</f>
        <v>766.1052395160159</v>
      </c>
      <c r="E362" s="19" t="s">
        <v>119</v>
      </c>
      <c r="F362" s="17"/>
      <c r="G362" s="527" t="s">
        <v>362</v>
      </c>
      <c r="H362" s="20"/>
      <c r="I362" s="17"/>
      <c r="J362" s="17"/>
      <c r="K362" s="17"/>
      <c r="L362" s="520"/>
      <c r="M362" s="17"/>
    </row>
    <row r="363" spans="1:13" s="239" customFormat="1" ht="13" customHeight="1">
      <c r="A363" s="17"/>
      <c r="B363" s="17"/>
      <c r="C363" s="17" t="s">
        <v>3</v>
      </c>
      <c r="D363" s="21">
        <f>Kappe!$G$59</f>
        <v>1.56</v>
      </c>
      <c r="E363" s="19" t="s">
        <v>7</v>
      </c>
      <c r="F363" s="17"/>
      <c r="G363" s="527" t="s">
        <v>359</v>
      </c>
      <c r="H363" s="20"/>
      <c r="I363" s="17"/>
      <c r="J363" s="17"/>
      <c r="K363" s="17"/>
      <c r="L363" s="520"/>
      <c r="M363" s="17"/>
    </row>
    <row r="364" spans="1:13" s="239" customFormat="1" ht="13" customHeight="1">
      <c r="A364" s="17"/>
      <c r="B364" s="17"/>
      <c r="C364" s="527" t="s">
        <v>65</v>
      </c>
      <c r="D364" s="21">
        <f>INDEX(Kappe!G60:I60,1,MATCH(Eingabe!$C$4,Kappe!$G$12:$I$12))</f>
        <v>30.693318890866021</v>
      </c>
      <c r="E364" s="19" t="s">
        <v>2</v>
      </c>
      <c r="F364" s="17"/>
      <c r="G364" s="527" t="s">
        <v>73</v>
      </c>
      <c r="H364" s="20"/>
      <c r="I364" s="17"/>
      <c r="J364" s="17"/>
      <c r="K364" s="17"/>
      <c r="L364" s="520"/>
      <c r="M364" s="17"/>
    </row>
    <row r="365" spans="1:13" s="239" customFormat="1" ht="13" customHeight="1">
      <c r="A365" s="17"/>
      <c r="B365" s="17"/>
      <c r="C365" s="527" t="s">
        <v>303</v>
      </c>
      <c r="D365" s="21">
        <f>Kappe!$G$61</f>
        <v>27.194109375</v>
      </c>
      <c r="E365" s="19" t="s">
        <v>2</v>
      </c>
      <c r="F365" s="17"/>
      <c r="G365" s="527" t="s">
        <v>75</v>
      </c>
      <c r="H365" s="20"/>
      <c r="I365" s="17"/>
      <c r="J365" s="17"/>
      <c r="K365" s="17"/>
      <c r="L365" s="520"/>
      <c r="M365" s="17"/>
    </row>
    <row r="366" spans="1:13" s="239" customFormat="1" ht="13" customHeight="1">
      <c r="A366" s="17"/>
      <c r="B366" s="17"/>
      <c r="C366" s="25" t="s">
        <v>90</v>
      </c>
      <c r="D366" s="26">
        <f>D365/D364</f>
        <v>0.88599442346694723</v>
      </c>
      <c r="E366" s="520" t="s">
        <v>7</v>
      </c>
      <c r="F366" s="27"/>
      <c r="G366" s="24" t="s">
        <v>46</v>
      </c>
      <c r="H366" s="20"/>
      <c r="I366" s="17"/>
      <c r="J366" s="17"/>
      <c r="K366" s="17"/>
      <c r="L366" s="520"/>
      <c r="M366" s="17"/>
    </row>
    <row r="367" spans="1:13" s="239" customFormat="1" ht="5.5" customHeight="1">
      <c r="A367" s="17"/>
      <c r="B367" s="17"/>
      <c r="C367" s="23"/>
      <c r="D367" s="18"/>
      <c r="E367" s="19"/>
      <c r="F367" s="17"/>
      <c r="G367" s="527"/>
      <c r="H367" s="20"/>
      <c r="I367" s="17"/>
      <c r="J367" s="17"/>
      <c r="K367" s="17"/>
      <c r="L367" s="520"/>
      <c r="M367" s="17"/>
    </row>
    <row r="368" spans="1:13" s="239" customFormat="1" ht="13" customHeight="1">
      <c r="A368" s="17"/>
      <c r="B368" s="238" t="s">
        <v>9</v>
      </c>
      <c r="C368" s="23"/>
      <c r="D368" s="18"/>
      <c r="E368" s="19"/>
      <c r="F368" s="17"/>
      <c r="G368" s="527"/>
      <c r="H368" s="20"/>
      <c r="I368" s="17"/>
      <c r="J368" s="17"/>
      <c r="K368" s="17"/>
      <c r="L368" s="520"/>
      <c r="M368" s="17"/>
    </row>
    <row r="369" spans="1:13" s="239" customFormat="1" ht="13" customHeight="1">
      <c r="A369" s="17"/>
      <c r="B369" s="17"/>
      <c r="C369" s="4" t="s">
        <v>10</v>
      </c>
      <c r="D369" s="18">
        <f>Kappe!$G$64</f>
        <v>2</v>
      </c>
      <c r="E369" s="19" t="s">
        <v>7</v>
      </c>
      <c r="F369" s="17"/>
      <c r="G369" s="527" t="s">
        <v>1324</v>
      </c>
      <c r="H369" s="20"/>
      <c r="I369" s="17"/>
      <c r="J369" s="17"/>
      <c r="K369" s="17"/>
      <c r="L369" s="520"/>
      <c r="M369" s="17"/>
    </row>
    <row r="370" spans="1:13" s="239" customFormat="1" ht="13" customHeight="1">
      <c r="A370" s="17"/>
      <c r="B370" s="17"/>
      <c r="C370" s="527" t="s">
        <v>18</v>
      </c>
      <c r="D370" s="21">
        <f>INDEX(Kappe!G65:I65,1,MATCH(Eingabe!$C$4,Kappe!$G$12:$I$12))</f>
        <v>82.085313531373316</v>
      </c>
      <c r="E370" s="237" t="s">
        <v>2</v>
      </c>
      <c r="F370" s="17"/>
      <c r="G370" s="527" t="s">
        <v>1324</v>
      </c>
      <c r="H370" s="20"/>
      <c r="I370" s="17"/>
      <c r="J370" s="17"/>
      <c r="K370" s="17"/>
      <c r="L370" s="520"/>
      <c r="M370" s="17"/>
    </row>
    <row r="371" spans="1:13" s="239" customFormat="1" ht="13" customHeight="1">
      <c r="A371" s="17"/>
      <c r="B371" s="17"/>
      <c r="C371" s="17" t="s">
        <v>12</v>
      </c>
      <c r="D371" s="21">
        <f>Kappe!$G$66</f>
        <v>1.2</v>
      </c>
      <c r="E371" s="19" t="s">
        <v>7</v>
      </c>
      <c r="F371" s="17"/>
      <c r="G371" s="527" t="s">
        <v>1324</v>
      </c>
      <c r="H371" s="20"/>
      <c r="I371" s="17"/>
      <c r="J371" s="17"/>
      <c r="K371" s="17"/>
      <c r="L371" s="520"/>
      <c r="M371" s="17"/>
    </row>
    <row r="372" spans="1:13" s="239" customFormat="1" ht="13" customHeight="1">
      <c r="A372" s="17"/>
      <c r="B372" s="17"/>
      <c r="C372" s="17" t="s">
        <v>72</v>
      </c>
      <c r="D372" s="21">
        <f>INDEX(Kappe!G67:I67,1,MATCH(Eingabe!$C$4,Kappe!$G$12:$I$12))</f>
        <v>68.404427942811097</v>
      </c>
      <c r="E372" s="19" t="s">
        <v>2</v>
      </c>
      <c r="F372" s="17"/>
      <c r="G372" s="527" t="s">
        <v>73</v>
      </c>
      <c r="H372" s="20"/>
      <c r="I372" s="17"/>
      <c r="J372" s="17"/>
      <c r="K372" s="17"/>
      <c r="L372" s="520"/>
      <c r="M372" s="17"/>
    </row>
    <row r="373" spans="1:13" s="239" customFormat="1" ht="13" customHeight="1">
      <c r="A373" s="17"/>
      <c r="B373" s="17"/>
      <c r="C373" s="527" t="s">
        <v>303</v>
      </c>
      <c r="D373" s="21">
        <f>Kappe!$G$84</f>
        <v>54.38821875</v>
      </c>
      <c r="E373" s="19" t="s">
        <v>2</v>
      </c>
      <c r="F373" s="17"/>
      <c r="G373" s="527" t="s">
        <v>75</v>
      </c>
      <c r="H373" s="20"/>
      <c r="I373" s="17"/>
      <c r="J373" s="17"/>
      <c r="K373" s="17"/>
      <c r="L373" s="520"/>
      <c r="M373" s="17"/>
    </row>
    <row r="374" spans="1:13" s="239" customFormat="1" ht="13" customHeight="1">
      <c r="A374" s="17"/>
      <c r="B374" s="17"/>
      <c r="C374" s="25" t="s">
        <v>91</v>
      </c>
      <c r="D374" s="26">
        <f>D373/D372</f>
        <v>0.79509792546574287</v>
      </c>
      <c r="E374" s="520" t="s">
        <v>7</v>
      </c>
      <c r="F374" s="27"/>
      <c r="G374" s="24" t="s">
        <v>46</v>
      </c>
      <c r="H374" s="20"/>
      <c r="I374" s="17"/>
      <c r="J374" s="17"/>
      <c r="K374" s="17"/>
      <c r="L374" s="520"/>
      <c r="M374" s="17"/>
    </row>
    <row r="375" spans="1:13" s="239" customFormat="1" ht="5.5" customHeight="1">
      <c r="A375" s="17"/>
      <c r="B375" s="17"/>
      <c r="C375" s="23"/>
      <c r="D375" s="18"/>
      <c r="E375" s="19"/>
      <c r="F375" s="17"/>
      <c r="G375" s="527"/>
      <c r="H375" s="20"/>
      <c r="I375" s="17"/>
      <c r="J375" s="17"/>
      <c r="K375" s="17"/>
      <c r="L375" s="520"/>
      <c r="M375" s="17"/>
    </row>
    <row r="376" spans="1:13" s="239" customFormat="1" ht="13" customHeight="1">
      <c r="A376" s="1032" t="s">
        <v>517</v>
      </c>
      <c r="B376" s="1032"/>
      <c r="C376" s="1032"/>
      <c r="D376" s="1032"/>
      <c r="E376" s="1032"/>
      <c r="F376" s="1032"/>
      <c r="G376" s="1032"/>
      <c r="H376" s="1032"/>
      <c r="I376" s="1032"/>
      <c r="J376" s="1032"/>
      <c r="K376" s="17"/>
      <c r="L376" s="520"/>
      <c r="M376" s="17"/>
    </row>
    <row r="377" spans="1:13" s="239" customFormat="1" ht="5.5" customHeight="1">
      <c r="A377" s="520"/>
      <c r="B377" s="520"/>
      <c r="C377" s="520"/>
      <c r="D377" s="520"/>
      <c r="E377" s="520"/>
      <c r="F377" s="520"/>
      <c r="G377" s="520"/>
      <c r="H377" s="520"/>
      <c r="I377" s="520"/>
      <c r="J377" s="520"/>
      <c r="K377" s="17"/>
      <c r="L377" s="520"/>
      <c r="M377" s="17"/>
    </row>
    <row r="378" spans="1:13" s="239" customFormat="1" ht="13" customHeight="1">
      <c r="A378" s="17"/>
      <c r="B378" s="17"/>
      <c r="C378" s="23" t="s">
        <v>85</v>
      </c>
      <c r="D378" s="21">
        <f>INDEX(Kappe!G89:I89,1,MATCH(Eingabe!$C$4,Kappe!$G$12:$I$12))</f>
        <v>9.7750119281513961E-2</v>
      </c>
      <c r="E378" s="19" t="s">
        <v>7</v>
      </c>
      <c r="F378" s="17"/>
      <c r="G378" s="527" t="s">
        <v>515</v>
      </c>
      <c r="H378" s="20"/>
      <c r="I378" s="17"/>
      <c r="J378" s="17"/>
      <c r="K378" s="17"/>
      <c r="L378" s="520"/>
      <c r="M378" s="17"/>
    </row>
    <row r="379" spans="1:13" s="239" customFormat="1" ht="13" customHeight="1">
      <c r="A379" s="17"/>
      <c r="B379" s="17"/>
      <c r="C379" s="23" t="s">
        <v>87</v>
      </c>
      <c r="D379" s="21">
        <f>INDEX(Kappe!G90:I90,1,MATCH(Eingabe!$C$4,Kappe!$G$12:$I$12))</f>
        <v>0.88599442346694723</v>
      </c>
      <c r="E379" s="19" t="s">
        <v>7</v>
      </c>
      <c r="F379" s="17"/>
      <c r="G379" s="527" t="s">
        <v>519</v>
      </c>
      <c r="H379" s="20"/>
      <c r="I379" s="17"/>
      <c r="J379" s="17"/>
      <c r="K379" s="17"/>
      <c r="L379" s="520"/>
      <c r="M379" s="17"/>
    </row>
    <row r="380" spans="1:13" s="239" customFormat="1" ht="1.1499999999999999" customHeight="1">
      <c r="A380" s="17"/>
      <c r="B380" s="17"/>
      <c r="C380" s="23"/>
      <c r="D380" s="21"/>
      <c r="E380" s="19"/>
      <c r="F380" s="17"/>
      <c r="G380" s="527"/>
      <c r="H380" s="20"/>
      <c r="I380" s="17"/>
      <c r="J380" s="17"/>
      <c r="K380" s="17"/>
      <c r="L380" s="520"/>
      <c r="M380" s="17"/>
    </row>
    <row r="381" spans="1:13" s="239" customFormat="1" ht="13" customHeight="1">
      <c r="A381" s="17"/>
      <c r="B381" s="17"/>
      <c r="C381" s="25" t="s">
        <v>549</v>
      </c>
      <c r="D381" s="26">
        <f>INDEX(Kappe!G92:I92,1,MATCH(Eingabe!$C$4,Kappe!$G$12:$I$12))</f>
        <v>0.81978711895705103</v>
      </c>
      <c r="E381" s="520" t="s">
        <v>7</v>
      </c>
      <c r="F381" s="27"/>
      <c r="G381" s="24" t="s">
        <v>1324</v>
      </c>
      <c r="H381" s="20"/>
      <c r="I381" s="17"/>
      <c r="J381" s="17"/>
      <c r="K381" s="17"/>
      <c r="L381" s="520"/>
      <c r="M381" s="17"/>
    </row>
    <row r="382" spans="1:13" s="239" customFormat="1" ht="5.5" customHeight="1">
      <c r="A382" s="17"/>
      <c r="B382" s="17"/>
      <c r="C382" s="23"/>
      <c r="D382" s="18"/>
      <c r="E382" s="19"/>
      <c r="F382" s="17"/>
      <c r="G382" s="527"/>
      <c r="H382" s="20"/>
      <c r="I382" s="17"/>
      <c r="J382" s="17"/>
      <c r="K382" s="17"/>
      <c r="L382" s="520"/>
      <c r="M382" s="17"/>
    </row>
    <row r="383" spans="1:13" s="239" customFormat="1" ht="13" customHeight="1">
      <c r="A383" s="1033" t="s">
        <v>1158</v>
      </c>
      <c r="B383" s="1033"/>
      <c r="C383" s="1033"/>
      <c r="D383" s="1033"/>
      <c r="E383" s="1033"/>
      <c r="F383" s="1033"/>
      <c r="G383" s="1033"/>
      <c r="H383" s="1033"/>
      <c r="I383" s="1033"/>
      <c r="J383" s="1033"/>
      <c r="K383" s="502"/>
      <c r="L383" s="17"/>
      <c r="M383" s="17"/>
    </row>
    <row r="384" spans="1:13" s="239" customFormat="1" ht="5.5" customHeight="1">
      <c r="A384" s="228"/>
      <c r="B384" s="242"/>
      <c r="C384" s="242"/>
      <c r="D384" s="242"/>
      <c r="E384" s="242"/>
      <c r="F384" s="242"/>
      <c r="G384" s="242"/>
      <c r="H384" s="242"/>
      <c r="I384" s="242"/>
      <c r="J384" s="242"/>
      <c r="K384" s="228"/>
      <c r="L384" s="224"/>
      <c r="M384" s="17"/>
    </row>
    <row r="385" spans="1:27" s="1" customFormat="1" ht="13" customHeight="1">
      <c r="A385" s="1032" t="s">
        <v>514</v>
      </c>
      <c r="B385" s="1032"/>
      <c r="C385" s="1032"/>
      <c r="D385" s="1032"/>
      <c r="E385" s="1032"/>
      <c r="F385" s="1032"/>
      <c r="G385" s="1032"/>
      <c r="H385" s="1032"/>
      <c r="I385" s="1032"/>
      <c r="J385" s="1032"/>
      <c r="K385" s="520"/>
      <c r="L385" s="224"/>
      <c r="M385" s="402"/>
      <c r="N385" s="531"/>
      <c r="O385" s="531"/>
      <c r="P385" s="531"/>
      <c r="Q385" s="531"/>
      <c r="R385" s="531"/>
      <c r="S385" s="531"/>
      <c r="T385" s="531"/>
      <c r="U385" s="531"/>
      <c r="V385" s="531"/>
      <c r="W385" s="531"/>
      <c r="X385" s="531"/>
      <c r="Y385" s="531"/>
      <c r="Z385" s="531"/>
      <c r="AA385" s="531"/>
    </row>
    <row r="386" spans="1:27" s="1" customFormat="1" ht="13" customHeight="1">
      <c r="A386" s="17"/>
      <c r="B386" s="14" t="s">
        <v>1</v>
      </c>
      <c r="C386" s="232"/>
      <c r="D386" s="232"/>
      <c r="E386" s="232"/>
      <c r="F386" s="17"/>
      <c r="G386" s="527"/>
      <c r="H386" s="527"/>
      <c r="I386" s="527"/>
      <c r="J386" s="527"/>
      <c r="K386" s="17"/>
      <c r="L386" s="224"/>
      <c r="M386" s="402"/>
      <c r="N386" s="531"/>
      <c r="O386" s="531"/>
      <c r="P386" s="531"/>
      <c r="Q386" s="531"/>
      <c r="R386" s="531"/>
      <c r="S386" s="531"/>
      <c r="T386" s="531"/>
      <c r="U386" s="531"/>
      <c r="V386" s="531"/>
      <c r="W386" s="531"/>
      <c r="X386" s="531"/>
      <c r="Y386" s="531"/>
      <c r="Z386" s="531"/>
      <c r="AA386" s="531"/>
    </row>
    <row r="387" spans="1:27" s="1" customFormat="1" ht="13" customHeight="1">
      <c r="A387" s="17"/>
      <c r="B387" s="17"/>
      <c r="C387" s="527" t="s">
        <v>4</v>
      </c>
      <c r="D387" s="21">
        <f>INDEX(Tragwerk!$M$23:$O$23,1,MATCH(Eingabe!$C$4,Tragwerk!$M$14:$O$14))</f>
        <v>247</v>
      </c>
      <c r="E387" s="19" t="s">
        <v>2</v>
      </c>
      <c r="F387" s="17"/>
      <c r="G387" s="527" t="s">
        <v>361</v>
      </c>
      <c r="H387" s="527"/>
      <c r="I387" s="527"/>
      <c r="J387" s="527"/>
      <c r="K387" s="17"/>
      <c r="L387" s="224"/>
      <c r="M387" s="402"/>
      <c r="N387" s="531"/>
      <c r="O387" s="531"/>
      <c r="P387" s="531"/>
      <c r="Q387" s="531"/>
      <c r="R387" s="531"/>
      <c r="S387" s="531"/>
      <c r="T387" s="531"/>
      <c r="U387" s="531"/>
      <c r="V387" s="531"/>
      <c r="W387" s="531"/>
      <c r="X387" s="531"/>
      <c r="Y387" s="531"/>
      <c r="Z387" s="531"/>
      <c r="AA387" s="531"/>
    </row>
    <row r="388" spans="1:27" s="1" customFormat="1" ht="13" customHeight="1">
      <c r="A388" s="17"/>
      <c r="B388" s="17"/>
      <c r="C388" s="17" t="s">
        <v>3</v>
      </c>
      <c r="D388" s="21">
        <f>Tragwerk!$M$24</f>
        <v>1.87</v>
      </c>
      <c r="E388" s="19" t="s">
        <v>7</v>
      </c>
      <c r="F388" s="17"/>
      <c r="G388" s="527" t="s">
        <v>359</v>
      </c>
      <c r="H388" s="527"/>
      <c r="I388" s="527"/>
      <c r="J388" s="527"/>
      <c r="K388" s="17"/>
      <c r="L388" s="224"/>
      <c r="M388" s="402"/>
      <c r="N388" s="531"/>
      <c r="O388" s="531"/>
      <c r="P388" s="531"/>
      <c r="Q388" s="531"/>
      <c r="R388" s="531"/>
      <c r="S388" s="531"/>
      <c r="T388" s="531"/>
      <c r="U388" s="531"/>
      <c r="V388" s="531"/>
      <c r="W388" s="531"/>
      <c r="X388" s="531"/>
      <c r="Y388" s="531"/>
      <c r="Z388" s="531"/>
      <c r="AA388" s="531"/>
    </row>
    <row r="389" spans="1:27" s="1" customFormat="1" ht="13" customHeight="1">
      <c r="A389" s="17"/>
      <c r="B389" s="17"/>
      <c r="C389" s="527" t="s">
        <v>64</v>
      </c>
      <c r="D389" s="21">
        <f>INDEX(Tragwerk!M25:O25,1,MATCH(Eingabe!C4,Tragwerk!M14:O14))</f>
        <v>132.08556149732618</v>
      </c>
      <c r="E389" s="19" t="s">
        <v>2</v>
      </c>
      <c r="F389" s="17"/>
      <c r="G389" s="527" t="s">
        <v>73</v>
      </c>
      <c r="H389" s="527"/>
      <c r="I389" s="527"/>
      <c r="J389" s="527"/>
      <c r="K389" s="17"/>
      <c r="L389" s="224"/>
      <c r="M389" s="402"/>
      <c r="N389" s="531"/>
      <c r="O389" s="531"/>
      <c r="P389" s="531"/>
      <c r="Q389" s="531"/>
      <c r="R389" s="531"/>
      <c r="S389" s="531"/>
      <c r="T389" s="531"/>
      <c r="U389" s="531"/>
      <c r="V389" s="531"/>
      <c r="W389" s="531"/>
      <c r="X389" s="531"/>
      <c r="Y389" s="531"/>
      <c r="Z389" s="531"/>
      <c r="AA389" s="531"/>
    </row>
    <row r="390" spans="1:27" s="1" customFormat="1" ht="13" customHeight="1">
      <c r="A390" s="17"/>
      <c r="B390" s="17"/>
      <c r="C390" s="527" t="s">
        <v>306</v>
      </c>
      <c r="D390" s="21">
        <f>Tragwerk!$M$60</f>
        <v>4.7057430951337125</v>
      </c>
      <c r="E390" s="19" t="s">
        <v>2</v>
      </c>
      <c r="F390" s="17"/>
      <c r="G390" s="527" t="s">
        <v>75</v>
      </c>
      <c r="H390" s="527"/>
      <c r="I390" s="527"/>
      <c r="J390" s="527"/>
      <c r="K390" s="17"/>
      <c r="L390" s="224"/>
      <c r="M390" s="402"/>
      <c r="N390" s="531"/>
      <c r="O390" s="531"/>
      <c r="P390" s="531"/>
      <c r="Q390" s="531"/>
      <c r="R390" s="531"/>
      <c r="S390" s="531"/>
      <c r="T390" s="531"/>
      <c r="U390" s="531"/>
      <c r="V390" s="531"/>
      <c r="W390" s="531"/>
      <c r="X390" s="531"/>
      <c r="Y390" s="531"/>
      <c r="Z390" s="531"/>
      <c r="AA390" s="531"/>
    </row>
    <row r="391" spans="1:27" s="1" customFormat="1" ht="13" customHeight="1">
      <c r="A391" s="17"/>
      <c r="B391" s="17"/>
      <c r="C391" s="25" t="s">
        <v>88</v>
      </c>
      <c r="D391" s="26">
        <f>D390/D389</f>
        <v>3.5626476064372643E-2</v>
      </c>
      <c r="E391" s="520" t="s">
        <v>7</v>
      </c>
      <c r="F391" s="27"/>
      <c r="G391" s="24" t="s">
        <v>46</v>
      </c>
      <c r="H391" s="527"/>
      <c r="I391" s="527"/>
      <c r="J391" s="527"/>
      <c r="K391" s="17"/>
      <c r="L391" s="224"/>
      <c r="M391" s="402"/>
      <c r="N391" s="531"/>
      <c r="O391" s="531"/>
      <c r="P391" s="531"/>
      <c r="Q391" s="531"/>
      <c r="R391" s="531"/>
      <c r="S391" s="531"/>
      <c r="T391" s="531"/>
      <c r="U391" s="531"/>
      <c r="V391" s="531"/>
      <c r="W391" s="531"/>
      <c r="X391" s="531"/>
      <c r="Y391" s="531"/>
      <c r="Z391" s="531"/>
      <c r="AA391" s="531"/>
    </row>
    <row r="392" spans="1:27" s="1" customFormat="1" ht="5.5" customHeight="1">
      <c r="A392" s="228"/>
      <c r="B392" s="240"/>
      <c r="C392" s="240"/>
      <c r="D392" s="240"/>
      <c r="E392" s="240"/>
      <c r="F392" s="240"/>
      <c r="G392" s="240"/>
      <c r="H392" s="240"/>
      <c r="I392" s="240"/>
      <c r="J392" s="242"/>
      <c r="K392" s="228"/>
      <c r="L392" s="224"/>
      <c r="M392" s="402"/>
      <c r="N392" s="531"/>
      <c r="O392" s="531"/>
      <c r="P392" s="531"/>
      <c r="Q392" s="531"/>
      <c r="R392" s="531"/>
      <c r="S392" s="531"/>
      <c r="T392" s="531"/>
      <c r="U392" s="531"/>
      <c r="V392" s="531"/>
      <c r="W392" s="531"/>
      <c r="X392" s="531"/>
      <c r="Y392" s="531"/>
      <c r="Z392" s="531"/>
      <c r="AA392" s="531"/>
    </row>
    <row r="393" spans="1:27" s="1" customFormat="1" ht="13" customHeight="1">
      <c r="A393" s="224"/>
      <c r="B393" s="233" t="s">
        <v>132</v>
      </c>
      <c r="C393" s="19"/>
      <c r="D393" s="19"/>
      <c r="E393" s="17"/>
      <c r="F393" s="17"/>
      <c r="G393" s="527"/>
      <c r="H393" s="527"/>
      <c r="I393" s="527"/>
      <c r="J393" s="225"/>
      <c r="K393" s="224"/>
      <c r="L393" s="224"/>
      <c r="M393" s="402"/>
      <c r="N393" s="531"/>
      <c r="O393" s="531"/>
      <c r="P393" s="531"/>
      <c r="Q393" s="531"/>
      <c r="R393" s="531"/>
      <c r="S393" s="531"/>
      <c r="T393" s="531"/>
      <c r="U393" s="531"/>
      <c r="V393" s="531"/>
      <c r="W393" s="531"/>
      <c r="X393" s="531"/>
      <c r="Y393" s="531"/>
      <c r="Z393" s="531"/>
      <c r="AA393" s="531"/>
    </row>
    <row r="394" spans="1:27" s="1" customFormat="1" ht="13" customHeight="1">
      <c r="A394" s="224"/>
      <c r="B394" s="233"/>
      <c r="C394" s="234" t="s">
        <v>128</v>
      </c>
      <c r="D394" s="21">
        <f>INDEX(Tragwerk!$M$27:$O$27,1,MATCH(Eingabe!$C$4,Tragwerk!$M$14:$O$14))</f>
        <v>84.446010528493645</v>
      </c>
      <c r="E394" s="19" t="s">
        <v>2</v>
      </c>
      <c r="F394" s="17"/>
      <c r="G394" s="527" t="s">
        <v>361</v>
      </c>
      <c r="H394" s="527"/>
      <c r="I394" s="527"/>
      <c r="J394" s="225"/>
      <c r="K394" s="224"/>
      <c r="L394" s="224"/>
      <c r="M394" s="402"/>
      <c r="N394" s="531"/>
      <c r="O394" s="531"/>
      <c r="P394" s="531"/>
      <c r="Q394" s="531"/>
      <c r="R394" s="531"/>
      <c r="S394" s="531"/>
      <c r="T394" s="531"/>
      <c r="U394" s="531"/>
      <c r="V394" s="531"/>
      <c r="W394" s="531"/>
      <c r="X394" s="531"/>
      <c r="Y394" s="531"/>
      <c r="Z394" s="531"/>
      <c r="AA394" s="531"/>
    </row>
    <row r="395" spans="1:27" s="1" customFormat="1" ht="13" customHeight="1">
      <c r="A395" s="224"/>
      <c r="B395" s="233"/>
      <c r="C395" s="234" t="s">
        <v>129</v>
      </c>
      <c r="D395" s="21">
        <f>INDEX(Tragwerk!$M$28:$O$28,1,MATCH(Eingabe!$C$4,Tragwerk!$M$14:$O$14))</f>
        <v>420</v>
      </c>
      <c r="E395" s="19" t="s">
        <v>0</v>
      </c>
      <c r="F395" s="17"/>
      <c r="G395" s="527" t="s">
        <v>1559</v>
      </c>
      <c r="H395" s="527"/>
      <c r="I395" s="527"/>
      <c r="J395" s="225"/>
      <c r="K395" s="224"/>
      <c r="L395" s="224"/>
      <c r="M395" s="402"/>
      <c r="N395" s="531"/>
      <c r="O395" s="531"/>
      <c r="P395" s="531"/>
      <c r="Q395" s="531"/>
      <c r="R395" s="531"/>
      <c r="S395" s="531"/>
      <c r="T395" s="531"/>
      <c r="U395" s="531"/>
      <c r="V395" s="531"/>
      <c r="W395" s="531"/>
      <c r="X395" s="531"/>
      <c r="Y395" s="531"/>
      <c r="Z395" s="531"/>
      <c r="AA395" s="531"/>
    </row>
    <row r="396" spans="1:27" s="1" customFormat="1" ht="13" customHeight="1">
      <c r="A396" s="224"/>
      <c r="B396" s="233"/>
      <c r="C396" s="234" t="s">
        <v>130</v>
      </c>
      <c r="D396" s="20">
        <f>INDEX(Tragwerk!$M$29:$O$29,1,MATCH(Eingabe!$C$4,Tragwerk!$M$14:$O$14))</f>
        <v>176400</v>
      </c>
      <c r="E396" s="19" t="s">
        <v>16</v>
      </c>
      <c r="F396" s="17"/>
      <c r="G396" s="527" t="s">
        <v>1554</v>
      </c>
      <c r="H396" s="527"/>
      <c r="I396" s="527"/>
      <c r="J396" s="225"/>
      <c r="K396" s="224"/>
      <c r="L396" s="224"/>
      <c r="M396" s="402"/>
      <c r="N396" s="531"/>
      <c r="O396" s="531"/>
      <c r="P396" s="531"/>
      <c r="Q396" s="531"/>
      <c r="R396" s="531"/>
      <c r="S396" s="531"/>
      <c r="T396" s="531"/>
      <c r="U396" s="531"/>
      <c r="V396" s="531"/>
      <c r="W396" s="531"/>
      <c r="X396" s="531"/>
      <c r="Y396" s="531"/>
      <c r="Z396" s="531"/>
      <c r="AA396" s="531"/>
    </row>
    <row r="397" spans="1:27" s="1" customFormat="1" ht="13" customHeight="1">
      <c r="A397" s="224"/>
      <c r="B397" s="233"/>
      <c r="C397" s="234" t="s">
        <v>131</v>
      </c>
      <c r="D397" s="20">
        <f>INDEX(Tragwerk!$M$30:$O$30,1,MATCH(Eingabe!$C$4,Tragwerk!$M$14:$O$14))</f>
        <v>142800</v>
      </c>
      <c r="E397" s="19" t="s">
        <v>16</v>
      </c>
      <c r="F397" s="17"/>
      <c r="G397" s="527" t="s">
        <v>1554</v>
      </c>
      <c r="H397" s="527"/>
      <c r="I397" s="527"/>
      <c r="J397" s="225"/>
      <c r="K397" s="224"/>
      <c r="L397" s="224"/>
      <c r="M397" s="402"/>
      <c r="N397" s="531"/>
      <c r="O397" s="531"/>
      <c r="P397" s="531"/>
      <c r="Q397" s="531"/>
      <c r="R397" s="531"/>
      <c r="S397" s="531"/>
      <c r="T397" s="531"/>
      <c r="U397" s="531"/>
      <c r="V397" s="531"/>
      <c r="W397" s="531"/>
      <c r="X397" s="531"/>
      <c r="Y397" s="531"/>
      <c r="Z397" s="531"/>
      <c r="AA397" s="531"/>
    </row>
    <row r="398" spans="1:27" s="1" customFormat="1" ht="13" customHeight="1">
      <c r="A398" s="224"/>
      <c r="B398" s="233"/>
      <c r="C398" s="234" t="s">
        <v>133</v>
      </c>
      <c r="D398" s="21">
        <f>INDEX(Tragwerk!$M$31:$O$31,1,MATCH(Eingabe!$C$4,Tragwerk!$M$14:$O$14))</f>
        <v>1</v>
      </c>
      <c r="E398" s="19" t="s">
        <v>7</v>
      </c>
      <c r="F398" s="17"/>
      <c r="G398" s="527" t="s">
        <v>1324</v>
      </c>
      <c r="H398" s="527"/>
      <c r="I398" s="527"/>
      <c r="J398" s="225"/>
      <c r="K398" s="224"/>
      <c r="L398" s="224"/>
      <c r="M398" s="402"/>
      <c r="N398" s="531"/>
      <c r="O398" s="531"/>
      <c r="P398" s="531"/>
      <c r="Q398" s="531"/>
      <c r="R398" s="531"/>
      <c r="S398" s="531"/>
      <c r="T398" s="531"/>
      <c r="U398" s="531"/>
      <c r="V398" s="531"/>
      <c r="W398" s="531"/>
      <c r="X398" s="531"/>
      <c r="Y398" s="531"/>
      <c r="Z398" s="531"/>
      <c r="AA398" s="531"/>
    </row>
    <row r="399" spans="1:27" s="1" customFormat="1" ht="13" customHeight="1">
      <c r="A399" s="224"/>
      <c r="B399" s="233"/>
      <c r="C399" s="234" t="s">
        <v>104</v>
      </c>
      <c r="D399" s="21">
        <f>INDEX(Tragwerk!$M$32:$O$32,1,MATCH(Eingabe!$C$4,Tragwerk!$M$14:$O$14))</f>
        <v>1</v>
      </c>
      <c r="E399" s="19" t="s">
        <v>7</v>
      </c>
      <c r="F399" s="17"/>
      <c r="G399" s="527" t="s">
        <v>1324</v>
      </c>
      <c r="H399" s="527"/>
      <c r="I399" s="527"/>
      <c r="J399" s="225"/>
      <c r="K399" s="224"/>
      <c r="L399" s="224"/>
      <c r="M399" s="402"/>
      <c r="N399" s="531"/>
      <c r="O399" s="531"/>
      <c r="P399" s="531"/>
      <c r="Q399" s="531"/>
      <c r="R399" s="531"/>
      <c r="S399" s="531"/>
      <c r="T399" s="531"/>
      <c r="U399" s="531"/>
      <c r="V399" s="531"/>
      <c r="W399" s="531"/>
      <c r="X399" s="531"/>
      <c r="Y399" s="531"/>
      <c r="Z399" s="531"/>
      <c r="AA399" s="531"/>
    </row>
    <row r="400" spans="1:27" s="1" customFormat="1" ht="13" customHeight="1">
      <c r="A400" s="224"/>
      <c r="B400" s="233"/>
      <c r="C400" s="234" t="s">
        <v>110</v>
      </c>
      <c r="D400" s="19">
        <f>INDEX(Tragwerk!$M$33:$O$33,1,MATCH(Eingabe!$C$4,Tragwerk!$M$14:$O$14))</f>
        <v>1.04</v>
      </c>
      <c r="E400" s="19" t="s">
        <v>7</v>
      </c>
      <c r="F400" s="17"/>
      <c r="G400" s="527" t="s">
        <v>360</v>
      </c>
      <c r="H400" s="527"/>
      <c r="I400" s="527"/>
      <c r="J400" s="225"/>
      <c r="K400" s="224"/>
      <c r="L400" s="224"/>
      <c r="M400" s="402"/>
      <c r="N400" s="531"/>
      <c r="O400" s="531"/>
      <c r="P400" s="531"/>
      <c r="Q400" s="531"/>
      <c r="R400" s="531"/>
      <c r="S400" s="531"/>
      <c r="T400" s="531"/>
      <c r="U400" s="531"/>
      <c r="V400" s="531"/>
      <c r="W400" s="531"/>
      <c r="X400" s="531"/>
      <c r="Y400" s="531"/>
      <c r="Z400" s="531"/>
      <c r="AA400" s="531"/>
    </row>
    <row r="401" spans="1:27" s="1" customFormat="1" ht="13" customHeight="1">
      <c r="A401" s="224"/>
      <c r="B401" s="233"/>
      <c r="C401" s="234" t="s">
        <v>111</v>
      </c>
      <c r="D401" s="19">
        <f>INDEX(Tragwerk!$M$34:$O$34,1,MATCH(Eingabe!$C$4,Tragwerk!$M$14:$O$14))</f>
        <v>1.07</v>
      </c>
      <c r="E401" s="19" t="s">
        <v>7</v>
      </c>
      <c r="F401" s="17"/>
      <c r="G401" s="527" t="s">
        <v>360</v>
      </c>
      <c r="H401" s="527"/>
      <c r="I401" s="527"/>
      <c r="J401" s="225"/>
      <c r="K401" s="224"/>
      <c r="L401" s="224"/>
      <c r="M401" s="402"/>
      <c r="N401" s="531"/>
      <c r="O401" s="531"/>
      <c r="P401" s="531"/>
      <c r="Q401" s="531"/>
      <c r="R401" s="531"/>
      <c r="S401" s="531"/>
      <c r="T401" s="531"/>
      <c r="U401" s="531"/>
      <c r="V401" s="531"/>
      <c r="W401" s="531"/>
      <c r="X401" s="531"/>
      <c r="Y401" s="531"/>
      <c r="Z401" s="531"/>
      <c r="AA401" s="531"/>
    </row>
    <row r="402" spans="1:27" s="1" customFormat="1" ht="13" customHeight="1">
      <c r="A402" s="224"/>
      <c r="B402" s="233"/>
      <c r="C402" s="234" t="s">
        <v>112</v>
      </c>
      <c r="D402" s="19">
        <f>INDEX(Tragwerk!$M$35:$O$35,1,MATCH(Eingabe!$C$4,Tragwerk!$M$14:$O$14))</f>
        <v>1.0900000000000001</v>
      </c>
      <c r="E402" s="19" t="s">
        <v>7</v>
      </c>
      <c r="F402" s="17"/>
      <c r="G402" s="527" t="s">
        <v>360</v>
      </c>
      <c r="H402" s="527"/>
      <c r="I402" s="527"/>
      <c r="J402" s="225"/>
      <c r="K402" s="224"/>
      <c r="L402" s="224"/>
      <c r="M402" s="402"/>
      <c r="N402" s="531"/>
      <c r="O402" s="531"/>
      <c r="P402" s="531"/>
      <c r="Q402" s="531"/>
      <c r="R402" s="531"/>
      <c r="S402" s="531"/>
      <c r="T402" s="531"/>
      <c r="U402" s="531"/>
      <c r="V402" s="531"/>
      <c r="W402" s="531"/>
      <c r="X402" s="531"/>
      <c r="Y402" s="531"/>
      <c r="Z402" s="531"/>
      <c r="AA402" s="531"/>
    </row>
    <row r="403" spans="1:27" s="1" customFormat="1" ht="13" customHeight="1">
      <c r="A403" s="224"/>
      <c r="B403" s="233"/>
      <c r="C403" s="234" t="s">
        <v>108</v>
      </c>
      <c r="D403" s="19">
        <f>Tragwerk!$M$38</f>
        <v>1.2</v>
      </c>
      <c r="E403" s="19" t="s">
        <v>7</v>
      </c>
      <c r="F403" s="17"/>
      <c r="G403" s="527" t="s">
        <v>1324</v>
      </c>
      <c r="H403" s="527"/>
      <c r="I403" s="527"/>
      <c r="J403" s="225"/>
      <c r="K403" s="224"/>
      <c r="L403" s="224"/>
      <c r="M403" s="402"/>
      <c r="N403" s="531"/>
      <c r="O403" s="531"/>
      <c r="P403" s="531"/>
      <c r="Q403" s="531"/>
      <c r="R403" s="531"/>
      <c r="S403" s="531"/>
      <c r="T403" s="531"/>
      <c r="U403" s="531"/>
      <c r="V403" s="531"/>
      <c r="W403" s="531"/>
      <c r="X403" s="531"/>
      <c r="Y403" s="531"/>
      <c r="Z403" s="531"/>
      <c r="AA403" s="531"/>
    </row>
    <row r="404" spans="1:27" s="1" customFormat="1" ht="13" customHeight="1">
      <c r="A404" s="224"/>
      <c r="B404" s="233"/>
      <c r="C404" s="234" t="s">
        <v>123</v>
      </c>
      <c r="D404" s="21">
        <f>INDEX(Tragwerk!M39:O39,1,MATCH(Eingabe!C4,Tragwerk!M14:O14))</f>
        <v>59.246248656498729</v>
      </c>
      <c r="E404" s="19" t="s">
        <v>2</v>
      </c>
      <c r="F404" s="17"/>
      <c r="G404" s="527" t="s">
        <v>73</v>
      </c>
      <c r="H404" s="527"/>
      <c r="I404" s="527"/>
      <c r="J404" s="225"/>
      <c r="K404" s="224"/>
      <c r="L404" s="224"/>
      <c r="M404" s="402"/>
      <c r="N404" s="531"/>
      <c r="O404" s="531"/>
      <c r="P404" s="531"/>
      <c r="Q404" s="531"/>
      <c r="R404" s="531"/>
      <c r="S404" s="531"/>
      <c r="T404" s="531"/>
      <c r="U404" s="531"/>
      <c r="V404" s="531"/>
      <c r="W404" s="531"/>
      <c r="X404" s="531"/>
      <c r="Y404" s="531"/>
      <c r="Z404" s="531"/>
      <c r="AA404" s="531"/>
    </row>
    <row r="405" spans="1:27" s="1" customFormat="1" ht="13" customHeight="1">
      <c r="A405" s="224"/>
      <c r="B405" s="233"/>
      <c r="C405" s="527" t="s">
        <v>306</v>
      </c>
      <c r="D405" s="21">
        <f>Tragwerk!$M$60</f>
        <v>4.7057430951337125</v>
      </c>
      <c r="E405" s="19" t="s">
        <v>2</v>
      </c>
      <c r="F405" s="17"/>
      <c r="G405" s="527" t="s">
        <v>75</v>
      </c>
      <c r="H405" s="527"/>
      <c r="I405" s="527"/>
      <c r="J405" s="225"/>
      <c r="K405" s="224"/>
      <c r="L405" s="224"/>
      <c r="M405" s="402"/>
      <c r="N405" s="531"/>
      <c r="O405" s="531"/>
      <c r="P405" s="531"/>
      <c r="Q405" s="531"/>
      <c r="R405" s="531"/>
      <c r="S405" s="531"/>
      <c r="T405" s="531"/>
      <c r="U405" s="531"/>
      <c r="V405" s="531"/>
      <c r="W405" s="531"/>
      <c r="X405" s="531"/>
      <c r="Y405" s="531"/>
      <c r="Z405" s="531"/>
      <c r="AA405" s="531"/>
    </row>
    <row r="406" spans="1:27" s="1" customFormat="1" ht="13" customHeight="1">
      <c r="A406" s="224"/>
      <c r="B406" s="17"/>
      <c r="C406" s="25" t="s">
        <v>122</v>
      </c>
      <c r="D406" s="26">
        <f>D405/D404</f>
        <v>7.9426853207482176E-2</v>
      </c>
      <c r="E406" s="520" t="s">
        <v>7</v>
      </c>
      <c r="F406" s="27"/>
      <c r="G406" s="24" t="s">
        <v>46</v>
      </c>
      <c r="H406" s="527"/>
      <c r="I406" s="527"/>
      <c r="J406" s="225"/>
      <c r="K406" s="224"/>
      <c r="L406" s="224"/>
      <c r="M406" s="402"/>
      <c r="N406" s="531"/>
      <c r="O406" s="531"/>
      <c r="P406" s="531"/>
      <c r="Q406" s="531"/>
      <c r="R406" s="531"/>
      <c r="S406" s="531"/>
      <c r="T406" s="531"/>
      <c r="U406" s="531"/>
      <c r="V406" s="531"/>
      <c r="W406" s="531"/>
      <c r="X406" s="531"/>
      <c r="Y406" s="531"/>
      <c r="Z406" s="531"/>
      <c r="AA406" s="531"/>
    </row>
    <row r="407" spans="1:27" s="1" customFormat="1" ht="5.5" customHeight="1">
      <c r="A407" s="228"/>
      <c r="B407" s="240"/>
      <c r="C407" s="240"/>
      <c r="D407" s="240"/>
      <c r="E407" s="240"/>
      <c r="F407" s="240"/>
      <c r="G407" s="240"/>
      <c r="H407" s="240"/>
      <c r="I407" s="240"/>
      <c r="J407" s="242"/>
      <c r="K407" s="228"/>
      <c r="L407" s="224"/>
      <c r="M407" s="402"/>
      <c r="N407" s="531"/>
      <c r="O407" s="531"/>
      <c r="P407" s="531"/>
      <c r="Q407" s="531"/>
      <c r="R407" s="531"/>
      <c r="S407" s="531"/>
      <c r="T407" s="531"/>
      <c r="U407" s="531"/>
      <c r="V407" s="531"/>
      <c r="W407" s="531"/>
      <c r="X407" s="531"/>
      <c r="Y407" s="531"/>
      <c r="Z407" s="531"/>
      <c r="AA407" s="531"/>
    </row>
    <row r="408" spans="1:27" s="1" customFormat="1" ht="13" customHeight="1">
      <c r="A408" s="224"/>
      <c r="B408" s="233" t="s">
        <v>8</v>
      </c>
      <c r="C408" s="19"/>
      <c r="D408" s="19"/>
      <c r="E408" s="17"/>
      <c r="F408" s="17"/>
      <c r="G408" s="527"/>
      <c r="H408" s="527"/>
      <c r="I408" s="527"/>
      <c r="J408" s="225"/>
      <c r="K408" s="224"/>
      <c r="L408" s="224"/>
      <c r="M408" s="402"/>
      <c r="N408" s="531"/>
      <c r="O408" s="531"/>
      <c r="P408" s="531"/>
      <c r="Q408" s="531"/>
      <c r="R408" s="531"/>
      <c r="S408" s="531"/>
      <c r="T408" s="531"/>
      <c r="U408" s="531"/>
      <c r="V408" s="531"/>
      <c r="W408" s="531"/>
      <c r="X408" s="531"/>
      <c r="Y408" s="531"/>
      <c r="Z408" s="531"/>
      <c r="AA408" s="531"/>
    </row>
    <row r="409" spans="1:27" s="1" customFormat="1" ht="13" customHeight="1">
      <c r="A409" s="224"/>
      <c r="B409" s="17"/>
      <c r="C409" s="527" t="s">
        <v>78</v>
      </c>
      <c r="D409" s="21">
        <f>INDEX(Tragwerk!M41:O41,1,MATCH(Eingabe!$C$4,Tragwerk!$M$14:$O$14))</f>
        <v>80.007519646593167</v>
      </c>
      <c r="E409" s="19" t="s">
        <v>2</v>
      </c>
      <c r="F409" s="17"/>
      <c r="G409" s="527" t="s">
        <v>1324</v>
      </c>
      <c r="H409" s="527"/>
      <c r="I409" s="527"/>
      <c r="J409" s="225"/>
      <c r="K409" s="224"/>
      <c r="L409" s="224"/>
      <c r="M409" s="402"/>
      <c r="N409" s="531"/>
      <c r="O409" s="531"/>
      <c r="P409" s="531"/>
      <c r="Q409" s="531"/>
      <c r="R409" s="531"/>
      <c r="S409" s="531"/>
      <c r="T409" s="531"/>
      <c r="U409" s="531"/>
      <c r="V409" s="531"/>
      <c r="W409" s="531"/>
      <c r="X409" s="531"/>
      <c r="Y409" s="531"/>
      <c r="Z409" s="531"/>
      <c r="AA409" s="531"/>
    </row>
    <row r="410" spans="1:27" s="1" customFormat="1" ht="13" customHeight="1">
      <c r="A410" s="224"/>
      <c r="B410" s="17"/>
      <c r="C410" s="527" t="s">
        <v>79</v>
      </c>
      <c r="D410" s="19">
        <f>INDEX(Tragwerk!M42:O42,1,MATCH(Eingabe!$C$4,Tragwerk!$M$14:$O$14))</f>
        <v>176400</v>
      </c>
      <c r="E410" s="19" t="s">
        <v>16</v>
      </c>
      <c r="F410" s="17"/>
      <c r="G410" s="527" t="s">
        <v>1324</v>
      </c>
      <c r="H410" s="527"/>
      <c r="I410" s="527"/>
      <c r="J410" s="225"/>
      <c r="K410" s="224"/>
      <c r="L410" s="224"/>
      <c r="M410" s="402"/>
      <c r="N410" s="531"/>
      <c r="O410" s="531"/>
      <c r="P410" s="531"/>
      <c r="Q410" s="531"/>
      <c r="R410" s="531"/>
      <c r="S410" s="531"/>
      <c r="T410" s="531"/>
      <c r="U410" s="531"/>
      <c r="V410" s="531"/>
      <c r="W410" s="531"/>
      <c r="X410" s="531"/>
      <c r="Y410" s="531"/>
      <c r="Z410" s="531"/>
      <c r="AA410" s="531"/>
    </row>
    <row r="411" spans="1:27" s="1" customFormat="1" ht="13" customHeight="1">
      <c r="A411" s="224"/>
      <c r="B411" s="17"/>
      <c r="C411" s="527" t="s">
        <v>80</v>
      </c>
      <c r="D411" s="19">
        <f>INDEX(Tragwerk!M43:O43,1,MATCH(Eingabe!$C$4,Tragwerk!$M$14:$O$14))</f>
        <v>142800</v>
      </c>
      <c r="E411" s="19" t="s">
        <v>16</v>
      </c>
      <c r="F411" s="17"/>
      <c r="G411" s="527" t="s">
        <v>1324</v>
      </c>
      <c r="H411" s="527"/>
      <c r="I411" s="527"/>
      <c r="J411" s="225"/>
      <c r="K411" s="224"/>
      <c r="L411" s="224"/>
      <c r="M411" s="402"/>
      <c r="N411" s="531"/>
      <c r="O411" s="531"/>
      <c r="P411" s="531"/>
      <c r="Q411" s="531"/>
      <c r="R411" s="531"/>
      <c r="S411" s="531"/>
      <c r="T411" s="531"/>
      <c r="U411" s="531"/>
      <c r="V411" s="531"/>
      <c r="W411" s="531"/>
      <c r="X411" s="531"/>
      <c r="Y411" s="531"/>
      <c r="Z411" s="531"/>
      <c r="AA411" s="531"/>
    </row>
    <row r="412" spans="1:27" s="1" customFormat="1" ht="13" customHeight="1">
      <c r="A412" s="224"/>
      <c r="B412" s="17"/>
      <c r="C412" s="23" t="s">
        <v>81</v>
      </c>
      <c r="D412" s="21">
        <f>INDEX(Tragwerk!M44:O44,1,MATCH(Eingabe!$C$4,Tragwerk!$M$14:$O$14))</f>
        <v>1</v>
      </c>
      <c r="E412" s="19" t="s">
        <v>7</v>
      </c>
      <c r="F412" s="17"/>
      <c r="G412" s="527" t="s">
        <v>1324</v>
      </c>
      <c r="H412" s="527"/>
      <c r="I412" s="527"/>
      <c r="J412" s="225"/>
      <c r="K412" s="224"/>
      <c r="L412" s="224"/>
      <c r="M412" s="402"/>
      <c r="N412" s="531"/>
      <c r="O412" s="531"/>
      <c r="P412" s="531"/>
      <c r="Q412" s="531"/>
      <c r="R412" s="531"/>
      <c r="S412" s="531"/>
      <c r="T412" s="531"/>
      <c r="U412" s="531"/>
      <c r="V412" s="531"/>
      <c r="W412" s="531"/>
      <c r="X412" s="531"/>
      <c r="Y412" s="531"/>
      <c r="Z412" s="531"/>
      <c r="AA412" s="531"/>
    </row>
    <row r="413" spans="1:27" s="1" customFormat="1" ht="13" customHeight="1">
      <c r="A413" s="224"/>
      <c r="B413" s="17"/>
      <c r="C413" s="23" t="s">
        <v>82</v>
      </c>
      <c r="D413" s="21">
        <f>INDEX(Tragwerk!M45:O45,1,MATCH(Eingabe!$C$4,Tragwerk!$M$14:$O$14))</f>
        <v>1</v>
      </c>
      <c r="E413" s="19" t="s">
        <v>7</v>
      </c>
      <c r="F413" s="17"/>
      <c r="G413" s="527" t="s">
        <v>1324</v>
      </c>
      <c r="H413" s="527"/>
      <c r="I413" s="527"/>
      <c r="J413" s="225"/>
      <c r="K413" s="224"/>
      <c r="L413" s="224"/>
      <c r="M413" s="402"/>
      <c r="N413" s="531"/>
      <c r="O413" s="531"/>
      <c r="P413" s="531"/>
      <c r="Q413" s="531"/>
      <c r="R413" s="531"/>
      <c r="S413" s="531"/>
      <c r="T413" s="531"/>
      <c r="U413" s="531"/>
      <c r="V413" s="531"/>
      <c r="W413" s="531"/>
      <c r="X413" s="531"/>
      <c r="Y413" s="531"/>
      <c r="Z413" s="531"/>
      <c r="AA413" s="531"/>
    </row>
    <row r="414" spans="1:27" s="1" customFormat="1" ht="13" customHeight="1">
      <c r="A414" s="224"/>
      <c r="B414" s="17"/>
      <c r="C414" s="23" t="s">
        <v>83</v>
      </c>
      <c r="D414" s="21">
        <f>INDEX(Tragwerk!M46:O46,1,MATCH(Eingabe!$C$4,Tragwerk!$M$14:$O$14))</f>
        <v>1</v>
      </c>
      <c r="E414" s="19" t="s">
        <v>7</v>
      </c>
      <c r="F414" s="17"/>
      <c r="G414" s="527" t="s">
        <v>1324</v>
      </c>
      <c r="H414" s="527"/>
      <c r="I414" s="527"/>
      <c r="J414" s="225"/>
      <c r="K414" s="224"/>
      <c r="L414" s="224"/>
      <c r="M414" s="402"/>
      <c r="N414" s="531"/>
      <c r="O414" s="531"/>
      <c r="P414" s="531"/>
      <c r="Q414" s="531"/>
      <c r="R414" s="531"/>
      <c r="S414" s="531"/>
      <c r="T414" s="531"/>
      <c r="U414" s="531"/>
      <c r="V414" s="531"/>
      <c r="W414" s="531"/>
      <c r="X414" s="531"/>
      <c r="Y414" s="531"/>
      <c r="Z414" s="531"/>
      <c r="AA414" s="531"/>
    </row>
    <row r="415" spans="1:27" s="1" customFormat="1" ht="13" customHeight="1">
      <c r="A415" s="224"/>
      <c r="B415" s="17"/>
      <c r="C415" s="527" t="s">
        <v>77</v>
      </c>
      <c r="D415" s="21">
        <f>INDEX(Tragwerk!M48:O48,1,MATCH(Eingabe!$C$4,Tragwerk!$M$14:$O$14))</f>
        <v>64.767992094861128</v>
      </c>
      <c r="E415" s="19" t="s">
        <v>2</v>
      </c>
      <c r="F415" s="17"/>
      <c r="G415" s="527" t="s">
        <v>1324</v>
      </c>
      <c r="H415" s="527"/>
      <c r="I415" s="527"/>
      <c r="J415" s="225"/>
      <c r="K415" s="224"/>
      <c r="L415" s="224"/>
      <c r="M415" s="402"/>
      <c r="N415" s="531"/>
      <c r="O415" s="531"/>
      <c r="P415" s="531"/>
      <c r="Q415" s="531"/>
      <c r="R415" s="531"/>
      <c r="S415" s="531"/>
      <c r="T415" s="531"/>
      <c r="U415" s="531"/>
      <c r="V415" s="531"/>
      <c r="W415" s="531"/>
      <c r="X415" s="531"/>
      <c r="Y415" s="531"/>
      <c r="Z415" s="531"/>
      <c r="AA415" s="531"/>
    </row>
    <row r="416" spans="1:27" s="1" customFormat="1" ht="13" customHeight="1">
      <c r="A416" s="224"/>
      <c r="B416" s="17"/>
      <c r="C416" s="17" t="s">
        <v>12</v>
      </c>
      <c r="D416" s="21">
        <f>Tragwerk!$M$49</f>
        <v>1.2</v>
      </c>
      <c r="E416" s="19" t="s">
        <v>7</v>
      </c>
      <c r="F416" s="17"/>
      <c r="G416" s="527" t="s">
        <v>1324</v>
      </c>
      <c r="H416" s="527"/>
      <c r="I416" s="527"/>
      <c r="J416" s="225"/>
      <c r="K416" s="224"/>
      <c r="L416" s="224"/>
      <c r="M416" s="402"/>
      <c r="N416" s="531"/>
      <c r="O416" s="531"/>
      <c r="P416" s="531"/>
      <c r="Q416" s="531"/>
      <c r="R416" s="531"/>
      <c r="S416" s="531"/>
      <c r="T416" s="531"/>
      <c r="U416" s="531"/>
      <c r="V416" s="531"/>
      <c r="W416" s="531"/>
      <c r="X416" s="531"/>
      <c r="Y416" s="531"/>
      <c r="Z416" s="531"/>
      <c r="AA416" s="531"/>
    </row>
    <row r="417" spans="1:27" s="1" customFormat="1" ht="13" customHeight="1">
      <c r="A417" s="224"/>
      <c r="B417" s="17"/>
      <c r="C417" s="527" t="s">
        <v>71</v>
      </c>
      <c r="D417" s="21">
        <f>INDEX(Tragwerk!M50:O50,1,MATCH(Eingabe!$C$4,Tragwerk!$M$14:$O$14))</f>
        <v>53.973326745717607</v>
      </c>
      <c r="E417" s="19" t="s">
        <v>2</v>
      </c>
      <c r="F417" s="17"/>
      <c r="G417" s="527" t="s">
        <v>73</v>
      </c>
      <c r="H417" s="527"/>
      <c r="I417" s="527"/>
      <c r="J417" s="225"/>
      <c r="K417" s="224"/>
      <c r="L417" s="224"/>
      <c r="M417" s="402"/>
      <c r="N417" s="531"/>
      <c r="O417" s="531"/>
      <c r="P417" s="531"/>
      <c r="Q417" s="531"/>
      <c r="R417" s="531"/>
      <c r="S417" s="531"/>
      <c r="T417" s="531"/>
      <c r="U417" s="531"/>
      <c r="V417" s="531"/>
      <c r="W417" s="531"/>
      <c r="X417" s="531"/>
      <c r="Y417" s="531"/>
      <c r="Z417" s="531"/>
      <c r="AA417" s="531"/>
    </row>
    <row r="418" spans="1:27" s="1" customFormat="1" ht="13" customHeight="1">
      <c r="A418" s="224"/>
      <c r="B418" s="17"/>
      <c r="C418" s="527" t="s">
        <v>306</v>
      </c>
      <c r="D418" s="21">
        <f>Tragwerk!$M$60</f>
        <v>4.7057430951337125</v>
      </c>
      <c r="E418" s="19" t="s">
        <v>2</v>
      </c>
      <c r="F418" s="17"/>
      <c r="G418" s="527" t="s">
        <v>75</v>
      </c>
      <c r="H418" s="527"/>
      <c r="I418" s="527"/>
      <c r="J418" s="225"/>
      <c r="K418" s="224"/>
      <c r="L418" s="224"/>
      <c r="M418" s="402"/>
      <c r="N418" s="531"/>
      <c r="O418" s="531"/>
      <c r="P418" s="531"/>
      <c r="Q418" s="531"/>
      <c r="R418" s="531"/>
      <c r="S418" s="531"/>
      <c r="T418" s="531"/>
      <c r="U418" s="531"/>
      <c r="V418" s="531"/>
      <c r="W418" s="531"/>
      <c r="X418" s="531"/>
      <c r="Y418" s="531"/>
      <c r="Z418" s="531"/>
      <c r="AA418" s="531"/>
    </row>
    <row r="419" spans="1:27" s="1" customFormat="1" ht="13" customHeight="1">
      <c r="A419" s="224"/>
      <c r="B419" s="17"/>
      <c r="C419" s="25" t="s">
        <v>89</v>
      </c>
      <c r="D419" s="26">
        <f>D418/D417</f>
        <v>8.7186456326912978E-2</v>
      </c>
      <c r="E419" s="520" t="s">
        <v>7</v>
      </c>
      <c r="F419" s="27"/>
      <c r="G419" s="24" t="s">
        <v>46</v>
      </c>
      <c r="H419" s="527"/>
      <c r="I419" s="527"/>
      <c r="J419" s="225"/>
      <c r="K419" s="224"/>
      <c r="L419" s="224"/>
      <c r="M419" s="402"/>
      <c r="N419" s="531"/>
      <c r="O419" s="531"/>
      <c r="P419" s="531"/>
      <c r="Q419" s="531"/>
      <c r="R419" s="531"/>
      <c r="S419" s="531"/>
      <c r="T419" s="531"/>
      <c r="U419" s="531"/>
      <c r="V419" s="531"/>
      <c r="W419" s="531"/>
      <c r="X419" s="531"/>
      <c r="Y419" s="531"/>
      <c r="Z419" s="531"/>
      <c r="AA419" s="531"/>
    </row>
    <row r="420" spans="1:27" s="1" customFormat="1" ht="5.5" customHeight="1">
      <c r="A420" s="17"/>
      <c r="B420" s="17"/>
      <c r="C420" s="23"/>
      <c r="D420" s="18"/>
      <c r="E420" s="19"/>
      <c r="F420" s="17"/>
      <c r="G420" s="527"/>
      <c r="H420" s="20"/>
      <c r="I420" s="17"/>
      <c r="J420" s="17"/>
      <c r="K420" s="17"/>
      <c r="L420" s="224"/>
      <c r="M420" s="402"/>
      <c r="N420" s="531"/>
      <c r="O420" s="531"/>
      <c r="P420" s="531"/>
      <c r="Q420" s="531"/>
      <c r="R420" s="531"/>
      <c r="S420" s="531"/>
      <c r="T420" s="531"/>
      <c r="U420" s="531"/>
      <c r="V420" s="531"/>
      <c r="W420" s="531"/>
      <c r="X420" s="531"/>
      <c r="Y420" s="531"/>
      <c r="Z420" s="531"/>
      <c r="AA420" s="531"/>
    </row>
    <row r="421" spans="1:27" s="457" customFormat="1" ht="14.15" customHeight="1">
      <c r="A421" s="1032" t="s">
        <v>513</v>
      </c>
      <c r="B421" s="1032"/>
      <c r="C421" s="1032"/>
      <c r="D421" s="1032"/>
      <c r="E421" s="1032"/>
      <c r="F421" s="1032"/>
      <c r="G421" s="1032"/>
      <c r="H421" s="1032"/>
      <c r="I421" s="1032"/>
      <c r="J421" s="1032"/>
      <c r="K421" s="520"/>
      <c r="L421" s="224"/>
      <c r="M421" s="402"/>
      <c r="N421" s="531"/>
      <c r="O421" s="531"/>
      <c r="P421" s="531"/>
      <c r="Q421" s="531"/>
      <c r="R421" s="531"/>
      <c r="S421" s="531"/>
      <c r="T421" s="531"/>
      <c r="U421" s="531"/>
      <c r="V421" s="531"/>
      <c r="W421" s="531"/>
      <c r="X421" s="531"/>
      <c r="Y421" s="531"/>
      <c r="Z421" s="531"/>
      <c r="AA421" s="531"/>
    </row>
    <row r="422" spans="1:27" s="457" customFormat="1" ht="14.15" customHeight="1">
      <c r="A422" s="17"/>
      <c r="B422" s="235" t="s">
        <v>120</v>
      </c>
      <c r="C422" s="23"/>
      <c r="D422" s="18"/>
      <c r="E422" s="19"/>
      <c r="F422" s="17"/>
      <c r="G422" s="527"/>
      <c r="H422" s="20"/>
      <c r="I422" s="17"/>
      <c r="J422" s="17"/>
      <c r="K422" s="17"/>
      <c r="L422" s="224"/>
      <c r="M422" s="402"/>
      <c r="N422" s="531"/>
      <c r="O422" s="531"/>
      <c r="P422" s="531"/>
      <c r="Q422" s="531"/>
      <c r="R422" s="531"/>
      <c r="S422" s="531"/>
      <c r="T422" s="531"/>
      <c r="U422" s="531"/>
      <c r="V422" s="531"/>
      <c r="W422" s="531"/>
      <c r="X422" s="531"/>
      <c r="Y422" s="531"/>
      <c r="Z422" s="531"/>
      <c r="AA422" s="531"/>
    </row>
    <row r="423" spans="1:27" s="457" customFormat="1" ht="14.15" customHeight="1">
      <c r="A423" s="17"/>
      <c r="B423" s="17"/>
      <c r="C423" s="527" t="s">
        <v>118</v>
      </c>
      <c r="D423" s="21">
        <f>INDEX(Tragwerk!M65:O65,1,MATCH(Eingabe!$C$4,Tragwerk!$M$14:$O$14))</f>
        <v>757.99758981340312</v>
      </c>
      <c r="E423" s="19" t="s">
        <v>119</v>
      </c>
      <c r="F423" s="17"/>
      <c r="G423" s="527" t="s">
        <v>362</v>
      </c>
      <c r="H423" s="20"/>
      <c r="I423" s="17"/>
      <c r="J423" s="17"/>
      <c r="K423" s="17"/>
      <c r="L423" s="224"/>
      <c r="M423" s="402"/>
      <c r="N423" s="531"/>
      <c r="O423" s="531"/>
      <c r="P423" s="531"/>
      <c r="Q423" s="531"/>
      <c r="R423" s="531"/>
      <c r="S423" s="531"/>
      <c r="T423" s="531"/>
      <c r="U423" s="531"/>
      <c r="V423" s="531"/>
      <c r="W423" s="531"/>
      <c r="X423" s="531"/>
      <c r="Y423" s="531"/>
      <c r="Z423" s="531"/>
      <c r="AA423" s="531"/>
    </row>
    <row r="424" spans="1:27" s="457" customFormat="1" ht="14.15" customHeight="1">
      <c r="A424" s="17"/>
      <c r="B424" s="17"/>
      <c r="C424" s="17" t="s">
        <v>3</v>
      </c>
      <c r="D424" s="21">
        <f>Tragwerk!$M$66</f>
        <v>1.56</v>
      </c>
      <c r="E424" s="19" t="s">
        <v>7</v>
      </c>
      <c r="F424" s="17"/>
      <c r="G424" s="527" t="s">
        <v>359</v>
      </c>
      <c r="H424" s="20"/>
      <c r="I424" s="17"/>
      <c r="J424" s="17"/>
      <c r="K424" s="17"/>
      <c r="L424" s="224"/>
      <c r="M424" s="402"/>
      <c r="N424" s="531"/>
      <c r="O424" s="531"/>
      <c r="P424" s="531"/>
      <c r="Q424" s="531"/>
      <c r="R424" s="531"/>
      <c r="S424" s="531"/>
      <c r="T424" s="531"/>
      <c r="U424" s="531"/>
      <c r="V424" s="531"/>
      <c r="W424" s="531"/>
      <c r="X424" s="531"/>
      <c r="Y424" s="531"/>
      <c r="Z424" s="531"/>
      <c r="AA424" s="531"/>
    </row>
    <row r="425" spans="1:27" s="457" customFormat="1" ht="14.15" customHeight="1">
      <c r="A425" s="17"/>
      <c r="B425" s="17"/>
      <c r="C425" s="527" t="s">
        <v>65</v>
      </c>
      <c r="D425" s="21">
        <f>INDEX(Tragwerk!M67:O67,1,MATCH(Eingabe!$C$4,Tragwerk!$M$14:$O$14))</f>
        <v>30.368493181626725</v>
      </c>
      <c r="E425" s="19" t="s">
        <v>2</v>
      </c>
      <c r="F425" s="17"/>
      <c r="G425" s="527" t="s">
        <v>73</v>
      </c>
      <c r="H425" s="20"/>
      <c r="I425" s="17"/>
      <c r="J425" s="17"/>
      <c r="K425" s="17"/>
      <c r="L425" s="224"/>
      <c r="M425" s="402"/>
      <c r="N425" s="531"/>
      <c r="O425" s="531"/>
      <c r="P425" s="531"/>
      <c r="Q425" s="531"/>
      <c r="R425" s="531"/>
      <c r="S425" s="531"/>
      <c r="T425" s="531"/>
      <c r="U425" s="531"/>
      <c r="V425" s="531"/>
      <c r="W425" s="531"/>
      <c r="X425" s="531"/>
      <c r="Y425" s="531"/>
      <c r="Z425" s="531"/>
      <c r="AA425" s="531"/>
    </row>
    <row r="426" spans="1:27" s="457" customFormat="1" ht="14.15" customHeight="1">
      <c r="A426" s="17"/>
      <c r="B426" s="17"/>
      <c r="C426" s="527" t="s">
        <v>307</v>
      </c>
      <c r="D426" s="21">
        <f>Tragwerk!$M$68</f>
        <v>29.921271248249965</v>
      </c>
      <c r="E426" s="19" t="s">
        <v>2</v>
      </c>
      <c r="F426" s="17"/>
      <c r="G426" s="527" t="s">
        <v>75</v>
      </c>
      <c r="H426" s="20"/>
      <c r="I426" s="17"/>
      <c r="J426" s="17"/>
      <c r="K426" s="17"/>
      <c r="L426" s="224"/>
      <c r="M426" s="402"/>
      <c r="N426" s="531"/>
      <c r="O426" s="531"/>
      <c r="P426" s="531"/>
      <c r="Q426" s="531"/>
      <c r="R426" s="531"/>
      <c r="S426" s="531"/>
      <c r="T426" s="531"/>
      <c r="U426" s="531"/>
      <c r="V426" s="531"/>
      <c r="W426" s="531"/>
      <c r="X426" s="531"/>
      <c r="Y426" s="531"/>
      <c r="Z426" s="531"/>
      <c r="AA426" s="531"/>
    </row>
    <row r="427" spans="1:27" s="457" customFormat="1" ht="14.15" customHeight="1">
      <c r="A427" s="17"/>
      <c r="B427" s="17"/>
      <c r="C427" s="25" t="s">
        <v>90</v>
      </c>
      <c r="D427" s="26">
        <f>D426/D425</f>
        <v>0.98527348951092064</v>
      </c>
      <c r="E427" s="520" t="s">
        <v>7</v>
      </c>
      <c r="F427" s="27"/>
      <c r="G427" s="24" t="s">
        <v>46</v>
      </c>
      <c r="H427" s="20"/>
      <c r="I427" s="17"/>
      <c r="J427" s="17"/>
      <c r="K427" s="17"/>
      <c r="L427" s="224"/>
      <c r="M427" s="402"/>
      <c r="N427" s="531"/>
      <c r="O427" s="531"/>
      <c r="P427" s="531"/>
      <c r="Q427" s="531"/>
      <c r="R427" s="531"/>
      <c r="S427" s="531"/>
      <c r="T427" s="531"/>
      <c r="U427" s="531"/>
      <c r="V427" s="531"/>
      <c r="W427" s="531"/>
      <c r="X427" s="531"/>
      <c r="Y427" s="531"/>
      <c r="Z427" s="531"/>
      <c r="AA427" s="531"/>
    </row>
    <row r="428" spans="1:27" s="457" customFormat="1" ht="5.9" customHeight="1">
      <c r="A428" s="17"/>
      <c r="B428" s="17"/>
      <c r="C428" s="23"/>
      <c r="D428" s="18"/>
      <c r="E428" s="19"/>
      <c r="F428" s="17"/>
      <c r="G428" s="527"/>
      <c r="H428" s="20"/>
      <c r="I428" s="17"/>
      <c r="J428" s="17"/>
      <c r="K428" s="17"/>
      <c r="L428" s="224"/>
      <c r="M428" s="402"/>
      <c r="N428" s="531"/>
      <c r="O428" s="531"/>
      <c r="P428" s="531"/>
      <c r="Q428" s="531"/>
      <c r="R428" s="531"/>
      <c r="S428" s="531"/>
      <c r="T428" s="531"/>
      <c r="U428" s="531"/>
      <c r="V428" s="531"/>
      <c r="W428" s="531"/>
      <c r="X428" s="531"/>
      <c r="Y428" s="531"/>
      <c r="Z428" s="531"/>
      <c r="AA428" s="531"/>
    </row>
    <row r="429" spans="1:27" s="457" customFormat="1" ht="14.15" customHeight="1">
      <c r="A429" s="17"/>
      <c r="B429" s="238" t="s">
        <v>9</v>
      </c>
      <c r="C429" s="23"/>
      <c r="D429" s="18"/>
      <c r="E429" s="19"/>
      <c r="F429" s="17"/>
      <c r="G429" s="527"/>
      <c r="H429" s="20"/>
      <c r="I429" s="17"/>
      <c r="J429" s="17"/>
      <c r="K429" s="17"/>
      <c r="L429" s="224"/>
      <c r="M429" s="402"/>
      <c r="N429" s="531"/>
      <c r="O429" s="531"/>
      <c r="P429" s="531"/>
      <c r="Q429" s="531"/>
      <c r="R429" s="531"/>
      <c r="S429" s="531"/>
      <c r="T429" s="531"/>
      <c r="U429" s="531"/>
      <c r="V429" s="531"/>
      <c r="W429" s="531"/>
      <c r="X429" s="531"/>
      <c r="Y429" s="531"/>
      <c r="Z429" s="531"/>
      <c r="AA429" s="531"/>
    </row>
    <row r="430" spans="1:27" s="457" customFormat="1" ht="14.15" customHeight="1">
      <c r="A430" s="17"/>
      <c r="B430" s="17"/>
      <c r="C430" s="4" t="s">
        <v>10</v>
      </c>
      <c r="D430" s="18">
        <f>Tragwerk!$M$71</f>
        <v>2.5</v>
      </c>
      <c r="E430" s="19" t="s">
        <v>7</v>
      </c>
      <c r="F430" s="17"/>
      <c r="G430" s="17" t="s">
        <v>509</v>
      </c>
      <c r="H430" s="20"/>
      <c r="I430" s="17"/>
      <c r="J430" s="17"/>
      <c r="K430" s="17"/>
      <c r="L430" s="224"/>
      <c r="M430" s="402"/>
      <c r="N430" s="531"/>
      <c r="O430" s="531"/>
      <c r="P430" s="531"/>
      <c r="Q430" s="531"/>
      <c r="R430" s="531"/>
      <c r="S430" s="531"/>
      <c r="T430" s="531"/>
      <c r="U430" s="531"/>
      <c r="V430" s="531"/>
      <c r="W430" s="531"/>
      <c r="X430" s="531"/>
      <c r="Y430" s="531"/>
      <c r="Z430" s="531"/>
      <c r="AA430" s="531"/>
    </row>
    <row r="431" spans="1:27" s="457" customFormat="1" ht="14.15" customHeight="1">
      <c r="A431" s="17"/>
      <c r="B431" s="17"/>
      <c r="C431" s="527" t="s">
        <v>18</v>
      </c>
      <c r="D431" s="21">
        <f>INDEX(Tragwerk!M72:O72,1,MATCH(Eingabe!$C$4,Tragwerk!$M$14:$O$14))</f>
        <v>161.91998023715283</v>
      </c>
      <c r="E431" s="237" t="s">
        <v>2</v>
      </c>
      <c r="F431" s="17"/>
      <c r="G431" s="527" t="s">
        <v>1324</v>
      </c>
      <c r="H431" s="20"/>
      <c r="I431" s="17"/>
      <c r="J431" s="17"/>
      <c r="K431" s="17"/>
      <c r="L431" s="224"/>
      <c r="M431" s="402"/>
      <c r="N431" s="531"/>
      <c r="O431" s="531"/>
      <c r="P431" s="531"/>
      <c r="Q431" s="531"/>
      <c r="R431" s="531"/>
      <c r="S431" s="531"/>
      <c r="T431" s="531"/>
      <c r="U431" s="531"/>
      <c r="V431" s="531"/>
      <c r="W431" s="531"/>
      <c r="X431" s="531"/>
      <c r="Y431" s="531"/>
      <c r="Z431" s="531"/>
      <c r="AA431" s="531"/>
    </row>
    <row r="432" spans="1:27" s="457" customFormat="1" ht="14.15" customHeight="1">
      <c r="A432" s="17"/>
      <c r="B432" s="17"/>
      <c r="C432" s="17" t="s">
        <v>12</v>
      </c>
      <c r="D432" s="21">
        <f>Tragwerk!$M$73</f>
        <v>1.2</v>
      </c>
      <c r="E432" s="19" t="s">
        <v>7</v>
      </c>
      <c r="F432" s="17"/>
      <c r="G432" s="527" t="s">
        <v>1324</v>
      </c>
      <c r="H432" s="20"/>
      <c r="I432" s="17"/>
      <c r="J432" s="17"/>
      <c r="K432" s="17"/>
      <c r="L432" s="224"/>
      <c r="M432" s="402"/>
      <c r="N432" s="531"/>
      <c r="O432" s="531"/>
      <c r="P432" s="531"/>
      <c r="Q432" s="531"/>
      <c r="R432" s="531"/>
      <c r="S432" s="531"/>
      <c r="T432" s="531"/>
      <c r="U432" s="531"/>
      <c r="V432" s="531"/>
      <c r="W432" s="531"/>
      <c r="X432" s="531"/>
      <c r="Y432" s="531"/>
      <c r="Z432" s="531"/>
      <c r="AA432" s="531"/>
    </row>
    <row r="433" spans="1:27" s="457" customFormat="1" ht="14.15" customHeight="1">
      <c r="A433" s="17"/>
      <c r="B433" s="17"/>
      <c r="C433" s="17" t="s">
        <v>72</v>
      </c>
      <c r="D433" s="21">
        <f>INDEX(Tragwerk!M74:O74,1,MATCH(Eingabe!$C$4,Tragwerk!$M$14:$O$14))</f>
        <v>134.93331686429403</v>
      </c>
      <c r="E433" s="19" t="s">
        <v>2</v>
      </c>
      <c r="F433" s="17"/>
      <c r="G433" s="527" t="s">
        <v>73</v>
      </c>
      <c r="H433" s="20"/>
      <c r="I433" s="17"/>
      <c r="J433" s="17"/>
      <c r="K433" s="17"/>
      <c r="L433" s="224"/>
      <c r="M433" s="402"/>
      <c r="N433" s="531"/>
      <c r="O433" s="531"/>
      <c r="P433" s="531"/>
      <c r="Q433" s="531"/>
      <c r="R433" s="531"/>
      <c r="S433" s="531"/>
      <c r="T433" s="531"/>
      <c r="U433" s="531"/>
      <c r="V433" s="531"/>
      <c r="W433" s="531"/>
      <c r="X433" s="531"/>
      <c r="Y433" s="531"/>
      <c r="Z433" s="531"/>
      <c r="AA433" s="531"/>
    </row>
    <row r="434" spans="1:27" s="457" customFormat="1" ht="14.15" customHeight="1">
      <c r="A434" s="17"/>
      <c r="B434" s="17"/>
      <c r="C434" s="527" t="s">
        <v>307</v>
      </c>
      <c r="D434" s="21">
        <f>Tragwerk!$M$68</f>
        <v>29.921271248249965</v>
      </c>
      <c r="E434" s="19" t="s">
        <v>2</v>
      </c>
      <c r="F434" s="17"/>
      <c r="G434" s="527" t="s">
        <v>75</v>
      </c>
      <c r="H434" s="20"/>
      <c r="I434" s="17"/>
      <c r="J434" s="17"/>
      <c r="K434" s="17"/>
      <c r="L434" s="224"/>
      <c r="M434" s="402"/>
      <c r="N434" s="531"/>
      <c r="O434" s="531"/>
      <c r="P434" s="531"/>
      <c r="Q434" s="531"/>
      <c r="R434" s="531"/>
      <c r="S434" s="531"/>
      <c r="T434" s="531"/>
      <c r="U434" s="531"/>
      <c r="V434" s="531"/>
      <c r="W434" s="531"/>
      <c r="X434" s="531"/>
      <c r="Y434" s="531"/>
      <c r="Z434" s="531"/>
      <c r="AA434" s="531"/>
    </row>
    <row r="435" spans="1:27" s="457" customFormat="1" ht="14.15" customHeight="1">
      <c r="A435" s="17"/>
      <c r="B435" s="17"/>
      <c r="C435" s="25" t="s">
        <v>91</v>
      </c>
      <c r="D435" s="26">
        <f>D434/D433</f>
        <v>0.22174857880609702</v>
      </c>
      <c r="E435" s="520" t="s">
        <v>7</v>
      </c>
      <c r="F435" s="27"/>
      <c r="G435" s="24" t="s">
        <v>46</v>
      </c>
      <c r="H435" s="20"/>
      <c r="I435" s="17"/>
      <c r="J435" s="17"/>
      <c r="K435" s="17"/>
      <c r="L435" s="224"/>
      <c r="M435" s="402"/>
      <c r="N435" s="531"/>
      <c r="O435" s="531"/>
      <c r="P435" s="531"/>
      <c r="Q435" s="531"/>
      <c r="R435" s="531"/>
      <c r="S435" s="531"/>
      <c r="T435" s="531"/>
      <c r="U435" s="531"/>
      <c r="V435" s="531"/>
      <c r="W435" s="531"/>
      <c r="X435" s="531"/>
      <c r="Y435" s="531"/>
      <c r="Z435" s="531"/>
      <c r="AA435" s="531"/>
    </row>
    <row r="436" spans="1:27" s="457" customFormat="1" ht="5.9" customHeight="1">
      <c r="A436" s="17"/>
      <c r="B436" s="17"/>
      <c r="C436" s="23"/>
      <c r="D436" s="18"/>
      <c r="E436" s="19"/>
      <c r="F436" s="17"/>
      <c r="G436" s="527"/>
      <c r="H436" s="20"/>
      <c r="I436" s="17"/>
      <c r="J436" s="17"/>
      <c r="K436" s="17"/>
      <c r="L436" s="224"/>
      <c r="M436" s="402"/>
      <c r="N436" s="531"/>
      <c r="O436" s="531"/>
      <c r="P436" s="531"/>
      <c r="Q436" s="531"/>
      <c r="R436" s="531"/>
      <c r="S436" s="531"/>
      <c r="T436" s="531"/>
      <c r="U436" s="531"/>
      <c r="V436" s="531"/>
      <c r="W436" s="531"/>
      <c r="X436" s="531"/>
      <c r="Y436" s="531"/>
      <c r="Z436" s="531"/>
      <c r="AA436" s="531"/>
    </row>
    <row r="437" spans="1:27" s="457" customFormat="1" ht="14.15" customHeight="1">
      <c r="A437" s="17"/>
      <c r="B437" s="238" t="s">
        <v>11</v>
      </c>
      <c r="C437" s="23"/>
      <c r="D437" s="18"/>
      <c r="E437" s="19"/>
      <c r="F437" s="17"/>
      <c r="G437" s="527"/>
      <c r="H437" s="20"/>
      <c r="I437" s="17"/>
      <c r="J437" s="17"/>
      <c r="K437" s="17"/>
      <c r="L437" s="224"/>
      <c r="M437" s="402"/>
      <c r="N437" s="531"/>
      <c r="O437" s="531"/>
      <c r="P437" s="531"/>
      <c r="Q437" s="531"/>
      <c r="R437" s="531"/>
      <c r="S437" s="531"/>
      <c r="T437" s="531"/>
      <c r="U437" s="531"/>
      <c r="V437" s="531"/>
      <c r="W437" s="531"/>
      <c r="X437" s="531"/>
      <c r="Y437" s="531"/>
      <c r="Z437" s="531"/>
      <c r="AA437" s="531"/>
    </row>
    <row r="438" spans="1:27" s="457" customFormat="1" ht="14.15" customHeight="1">
      <c r="A438" s="17"/>
      <c r="B438" s="17"/>
      <c r="C438" s="234" t="s">
        <v>21</v>
      </c>
      <c r="D438" s="450">
        <f>INDEX(Tragwerk!M76:O76,1,MATCH(Eingabe!$C$4,Tragwerk!$B$14:$D$14))</f>
        <v>3.4156502553198659E-2</v>
      </c>
      <c r="E438" s="19" t="s">
        <v>7</v>
      </c>
      <c r="F438" s="27"/>
      <c r="G438" s="527" t="s">
        <v>1324</v>
      </c>
      <c r="H438" s="20"/>
      <c r="I438" s="17"/>
      <c r="J438" s="17"/>
      <c r="K438" s="17"/>
      <c r="L438" s="224"/>
      <c r="M438" s="402"/>
      <c r="N438" s="531"/>
      <c r="O438" s="531"/>
      <c r="P438" s="531"/>
      <c r="Q438" s="531"/>
      <c r="R438" s="531"/>
      <c r="S438" s="531"/>
      <c r="T438" s="531"/>
      <c r="U438" s="531"/>
      <c r="V438" s="531"/>
      <c r="W438" s="531"/>
      <c r="X438" s="531"/>
      <c r="Y438" s="531"/>
      <c r="Z438" s="531"/>
      <c r="AA438" s="531"/>
    </row>
    <row r="439" spans="1:27" s="457" customFormat="1" ht="14.15" customHeight="1">
      <c r="A439" s="17"/>
      <c r="B439" s="17"/>
      <c r="C439" s="234" t="s">
        <v>134</v>
      </c>
      <c r="D439" s="450">
        <f>INDEX(Tragwerk!M77:O77,1,MATCH(Eingabe!$C$4,Tragwerk!$B$14:$D$14))</f>
        <v>4.573050519273264E-2</v>
      </c>
      <c r="E439" s="19" t="s">
        <v>7</v>
      </c>
      <c r="F439" s="27"/>
      <c r="G439" s="527" t="s">
        <v>1324</v>
      </c>
      <c r="H439" s="20"/>
      <c r="I439" s="17"/>
      <c r="J439" s="17"/>
      <c r="K439" s="17"/>
      <c r="L439" s="224"/>
      <c r="M439" s="402"/>
      <c r="N439" s="531"/>
      <c r="O439" s="531"/>
      <c r="P439" s="531"/>
      <c r="Q439" s="531"/>
      <c r="R439" s="531"/>
      <c r="S439" s="531"/>
      <c r="T439" s="531"/>
      <c r="U439" s="531"/>
      <c r="V439" s="531"/>
      <c r="W439" s="531"/>
      <c r="X439" s="531"/>
      <c r="Y439" s="531"/>
      <c r="Z439" s="531"/>
      <c r="AA439" s="531"/>
    </row>
    <row r="440" spans="1:27" s="457" customFormat="1" ht="14.15" customHeight="1">
      <c r="A440" s="17"/>
      <c r="B440" s="17"/>
      <c r="C440" s="234" t="s">
        <v>481</v>
      </c>
      <c r="D440" s="21">
        <f>INDEX(Tragwerk!M78:O78,1,MATCH(Eingabe!$C$4,Tragwerk!$B$14:$D$14))</f>
        <v>662.3899818033774</v>
      </c>
      <c r="E440" s="237" t="s">
        <v>2</v>
      </c>
      <c r="F440" s="27"/>
      <c r="G440" s="527" t="s">
        <v>1324</v>
      </c>
      <c r="H440" s="20"/>
      <c r="I440" s="17"/>
      <c r="J440" s="17"/>
      <c r="K440" s="17"/>
      <c r="L440" s="224"/>
      <c r="M440" s="402"/>
      <c r="N440" s="531"/>
      <c r="O440" s="531"/>
      <c r="P440" s="531"/>
      <c r="Q440" s="531"/>
      <c r="R440" s="531"/>
      <c r="S440" s="531"/>
      <c r="T440" s="531"/>
      <c r="U440" s="531"/>
      <c r="V440" s="531"/>
      <c r="W440" s="531"/>
      <c r="X440" s="531"/>
      <c r="Y440" s="531"/>
      <c r="Z440" s="531"/>
      <c r="AA440" s="531"/>
    </row>
    <row r="441" spans="1:27" s="457" customFormat="1" ht="14.15" customHeight="1">
      <c r="A441" s="17"/>
      <c r="B441" s="17"/>
      <c r="C441" s="234" t="s">
        <v>482</v>
      </c>
      <c r="D441" s="20">
        <f>INDEX(Tragwerk!M79:O79,1,MATCH(Eingabe!$C$4,Tragwerk!$B$14:$D$14))</f>
        <v>6480000</v>
      </c>
      <c r="E441" s="19" t="s">
        <v>16</v>
      </c>
      <c r="F441" s="27"/>
      <c r="G441" s="527" t="s">
        <v>1324</v>
      </c>
      <c r="H441" s="20"/>
      <c r="I441" s="17"/>
      <c r="J441" s="17"/>
      <c r="K441" s="17"/>
      <c r="L441" s="224"/>
      <c r="M441" s="402"/>
      <c r="N441" s="531"/>
      <c r="O441" s="531"/>
      <c r="P441" s="531"/>
      <c r="Q441" s="531"/>
      <c r="R441" s="531"/>
      <c r="S441" s="531"/>
      <c r="T441" s="531"/>
      <c r="U441" s="531"/>
      <c r="V441" s="531"/>
      <c r="W441" s="531"/>
      <c r="X441" s="531"/>
      <c r="Y441" s="531"/>
      <c r="Z441" s="531"/>
      <c r="AA441" s="531"/>
    </row>
    <row r="442" spans="1:27" s="457" customFormat="1" ht="14.15" customHeight="1">
      <c r="A442" s="17"/>
      <c r="B442" s="17"/>
      <c r="C442" s="234" t="s">
        <v>483</v>
      </c>
      <c r="D442" s="20">
        <f>INDEX(Tragwerk!M80:O80,1,MATCH(Eingabe!$C$4,Tragwerk!$B$14:$D$14))</f>
        <v>720000</v>
      </c>
      <c r="E442" s="19" t="s">
        <v>16</v>
      </c>
      <c r="F442" s="27"/>
      <c r="G442" s="527" t="s">
        <v>1324</v>
      </c>
      <c r="H442" s="20"/>
      <c r="I442" s="17"/>
      <c r="J442" s="17"/>
      <c r="K442" s="17"/>
      <c r="L442" s="224"/>
      <c r="M442" s="402"/>
      <c r="N442" s="531"/>
      <c r="O442" s="531"/>
      <c r="P442" s="531"/>
      <c r="Q442" s="531"/>
      <c r="R442" s="531"/>
      <c r="S442" s="531"/>
      <c r="T442" s="531"/>
      <c r="U442" s="531"/>
      <c r="V442" s="531"/>
      <c r="W442" s="531"/>
      <c r="X442" s="531"/>
      <c r="Y442" s="531"/>
      <c r="Z442" s="531"/>
      <c r="AA442" s="531"/>
    </row>
    <row r="443" spans="1:27" s="457" customFormat="1" ht="14.15" customHeight="1">
      <c r="A443" s="17"/>
      <c r="B443" s="17"/>
      <c r="C443" s="234" t="s">
        <v>485</v>
      </c>
      <c r="D443" s="21">
        <f>INDEX(Tragwerk!M82:O82,1,MATCH(Eingabe!$C$4,Tragwerk!$B$14:$D$14))</f>
        <v>3</v>
      </c>
      <c r="E443" s="19" t="s">
        <v>7</v>
      </c>
      <c r="F443" s="27"/>
      <c r="G443" s="527" t="s">
        <v>1324</v>
      </c>
      <c r="H443" s="20"/>
      <c r="I443" s="17"/>
      <c r="J443" s="17"/>
      <c r="K443" s="17"/>
      <c r="L443" s="224"/>
      <c r="M443" s="402"/>
      <c r="N443" s="531"/>
      <c r="O443" s="531"/>
      <c r="P443" s="531"/>
      <c r="Q443" s="531"/>
      <c r="R443" s="531"/>
      <c r="S443" s="531"/>
      <c r="T443" s="531"/>
      <c r="U443" s="531"/>
      <c r="V443" s="531"/>
      <c r="W443" s="531"/>
      <c r="X443" s="531"/>
      <c r="Y443" s="531"/>
      <c r="Z443" s="531"/>
      <c r="AA443" s="531"/>
    </row>
    <row r="444" spans="1:27" s="457" customFormat="1" ht="14.15" customHeight="1">
      <c r="A444" s="17"/>
      <c r="B444" s="17"/>
      <c r="C444" s="234" t="s">
        <v>488</v>
      </c>
      <c r="D444" s="21">
        <f>Tragwerk!M85</f>
        <v>1.2</v>
      </c>
      <c r="E444" s="19" t="s">
        <v>7</v>
      </c>
      <c r="F444" s="27"/>
      <c r="G444" s="527" t="s">
        <v>1324</v>
      </c>
      <c r="H444" s="20"/>
      <c r="I444" s="17"/>
      <c r="J444" s="17"/>
      <c r="K444" s="17"/>
      <c r="L444" s="224"/>
      <c r="M444" s="402"/>
      <c r="N444" s="531"/>
      <c r="O444" s="531"/>
      <c r="P444" s="531"/>
      <c r="Q444" s="531"/>
      <c r="R444" s="531"/>
      <c r="S444" s="531"/>
      <c r="T444" s="531"/>
      <c r="U444" s="531"/>
      <c r="V444" s="531"/>
      <c r="W444" s="531"/>
      <c r="X444" s="531"/>
      <c r="Y444" s="531"/>
      <c r="Z444" s="531"/>
      <c r="AA444" s="531"/>
    </row>
    <row r="445" spans="1:27" s="457" customFormat="1" ht="14.15" customHeight="1">
      <c r="A445" s="17"/>
      <c r="B445" s="17"/>
      <c r="C445" s="234" t="s">
        <v>489</v>
      </c>
      <c r="D445" s="21">
        <f>INDEX(Tragwerk!M86:O86,1,MATCH(Eingabe!$C$4,Tragwerk!$B$14:$D$14))</f>
        <v>264.95599272135092</v>
      </c>
      <c r="E445" s="237" t="s">
        <v>2</v>
      </c>
      <c r="F445" s="27"/>
      <c r="G445" s="527" t="s">
        <v>1324</v>
      </c>
      <c r="H445" s="20"/>
      <c r="I445" s="17"/>
      <c r="J445" s="17"/>
      <c r="K445" s="17"/>
      <c r="L445" s="224"/>
      <c r="M445" s="402"/>
      <c r="N445" s="531"/>
      <c r="O445" s="531"/>
      <c r="P445" s="531"/>
      <c r="Q445" s="531"/>
      <c r="R445" s="531"/>
      <c r="S445" s="531"/>
      <c r="T445" s="531"/>
      <c r="U445" s="531"/>
      <c r="V445" s="531"/>
      <c r="W445" s="531"/>
      <c r="X445" s="531"/>
      <c r="Y445" s="531"/>
      <c r="Z445" s="531"/>
      <c r="AA445" s="531"/>
    </row>
    <row r="446" spans="1:27" s="457" customFormat="1" ht="14.15" customHeight="1">
      <c r="A446" s="17"/>
      <c r="B446" s="17"/>
      <c r="C446" s="234" t="s">
        <v>12</v>
      </c>
      <c r="D446" s="21">
        <f>Tragwerk!M87</f>
        <v>1.2</v>
      </c>
      <c r="E446" s="19" t="s">
        <v>7</v>
      </c>
      <c r="F446" s="27"/>
      <c r="G446" s="527" t="s">
        <v>1324</v>
      </c>
      <c r="H446" s="20"/>
      <c r="I446" s="17"/>
      <c r="J446" s="17"/>
      <c r="K446" s="17"/>
      <c r="L446" s="224"/>
      <c r="M446" s="402"/>
      <c r="N446" s="531"/>
      <c r="O446" s="531"/>
      <c r="P446" s="531"/>
      <c r="Q446" s="531"/>
      <c r="R446" s="531"/>
      <c r="S446" s="531"/>
      <c r="T446" s="531"/>
      <c r="U446" s="531"/>
      <c r="V446" s="531"/>
      <c r="W446" s="531"/>
      <c r="X446" s="531"/>
      <c r="Y446" s="531"/>
      <c r="Z446" s="531"/>
      <c r="AA446" s="531"/>
    </row>
    <row r="447" spans="1:27" s="457" customFormat="1" ht="14.15" customHeight="1">
      <c r="A447" s="17"/>
      <c r="B447" s="17"/>
      <c r="C447" s="234" t="s">
        <v>507</v>
      </c>
      <c r="D447" s="21">
        <f>INDEX(Tragwerk!M88:O88,1,MATCH(Eingabe!$C$4,Tragwerk!$B$14:$D$14))</f>
        <v>220.79666060112578</v>
      </c>
      <c r="E447" s="237" t="s">
        <v>2</v>
      </c>
      <c r="F447" s="27"/>
      <c r="G447" s="527" t="s">
        <v>73</v>
      </c>
      <c r="H447" s="20"/>
      <c r="I447" s="17"/>
      <c r="J447" s="17"/>
      <c r="K447" s="17"/>
      <c r="L447" s="224"/>
      <c r="M447" s="402"/>
      <c r="N447" s="531"/>
      <c r="O447" s="531"/>
      <c r="P447" s="531"/>
      <c r="Q447" s="531"/>
      <c r="R447" s="531"/>
      <c r="S447" s="531"/>
      <c r="T447" s="531"/>
      <c r="U447" s="531"/>
      <c r="V447" s="531"/>
      <c r="W447" s="531"/>
      <c r="X447" s="531"/>
      <c r="Y447" s="531"/>
      <c r="Z447" s="531"/>
      <c r="AA447" s="531"/>
    </row>
    <row r="448" spans="1:27" s="457" customFormat="1" ht="14.15" customHeight="1">
      <c r="A448" s="17"/>
      <c r="B448" s="17"/>
      <c r="C448" s="527" t="s">
        <v>307</v>
      </c>
      <c r="D448" s="21">
        <f>Tragwerk!M91</f>
        <v>59.842542496499931</v>
      </c>
      <c r="E448" s="237" t="s">
        <v>2</v>
      </c>
      <c r="F448" s="27"/>
      <c r="G448" s="527" t="s">
        <v>75</v>
      </c>
      <c r="H448" s="20"/>
      <c r="I448" s="17"/>
      <c r="J448" s="17"/>
      <c r="K448" s="17"/>
      <c r="L448" s="224"/>
      <c r="M448" s="402"/>
      <c r="N448" s="531"/>
      <c r="O448" s="531"/>
      <c r="P448" s="531"/>
      <c r="Q448" s="531"/>
      <c r="R448" s="531"/>
      <c r="S448" s="531"/>
      <c r="T448" s="531"/>
      <c r="U448" s="531"/>
      <c r="V448" s="531"/>
      <c r="W448" s="531"/>
      <c r="X448" s="531"/>
      <c r="Y448" s="531"/>
      <c r="Z448" s="531"/>
      <c r="AA448" s="531"/>
    </row>
    <row r="449" spans="1:27" s="457" customFormat="1" ht="14.15" customHeight="1">
      <c r="A449" s="17"/>
      <c r="B449" s="17"/>
      <c r="C449" s="25" t="s">
        <v>508</v>
      </c>
      <c r="D449" s="26">
        <f>D448/D447</f>
        <v>0.27103010676690825</v>
      </c>
      <c r="E449" s="520" t="s">
        <v>7</v>
      </c>
      <c r="F449" s="27"/>
      <c r="G449" s="24" t="s">
        <v>46</v>
      </c>
      <c r="H449" s="20"/>
      <c r="I449" s="17"/>
      <c r="J449" s="17"/>
      <c r="K449" s="17"/>
      <c r="L449" s="224"/>
      <c r="M449" s="402"/>
      <c r="N449" s="531"/>
      <c r="O449" s="531"/>
      <c r="P449" s="531"/>
      <c r="Q449" s="531"/>
      <c r="R449" s="531"/>
      <c r="S449" s="531"/>
      <c r="T449" s="531"/>
      <c r="U449" s="531"/>
      <c r="V449" s="531"/>
      <c r="W449" s="531"/>
      <c r="X449" s="531"/>
      <c r="Y449" s="531"/>
      <c r="Z449" s="531"/>
      <c r="AA449" s="531"/>
    </row>
    <row r="450" spans="1:27" s="457" customFormat="1" ht="5.9" customHeight="1">
      <c r="A450" s="17"/>
      <c r="B450" s="17"/>
      <c r="C450" s="23"/>
      <c r="D450" s="18"/>
      <c r="E450" s="19"/>
      <c r="F450" s="17"/>
      <c r="G450" s="527"/>
      <c r="H450" s="20"/>
      <c r="I450" s="17"/>
      <c r="J450" s="17"/>
      <c r="K450" s="17"/>
      <c r="L450" s="224"/>
      <c r="M450" s="402"/>
      <c r="N450" s="531"/>
      <c r="O450" s="531"/>
      <c r="P450" s="531"/>
      <c r="Q450" s="531"/>
      <c r="R450" s="531"/>
      <c r="S450" s="531"/>
      <c r="T450" s="531"/>
      <c r="U450" s="531"/>
      <c r="V450" s="531"/>
      <c r="W450" s="531"/>
      <c r="X450" s="531"/>
      <c r="Y450" s="531"/>
      <c r="Z450" s="531"/>
      <c r="AA450" s="531"/>
    </row>
    <row r="451" spans="1:27" s="457" customFormat="1" ht="14.15" customHeight="1">
      <c r="A451" s="1032" t="s">
        <v>518</v>
      </c>
      <c r="B451" s="1032"/>
      <c r="C451" s="1032"/>
      <c r="D451" s="1032"/>
      <c r="E451" s="1032"/>
      <c r="F451" s="1032"/>
      <c r="G451" s="1032"/>
      <c r="H451" s="1032"/>
      <c r="I451" s="1032"/>
      <c r="J451" s="1032"/>
      <c r="K451" s="520"/>
      <c r="L451" s="224"/>
      <c r="M451" s="402"/>
      <c r="N451" s="531"/>
      <c r="O451" s="531"/>
      <c r="P451" s="531"/>
      <c r="Q451" s="531"/>
      <c r="R451" s="531"/>
      <c r="S451" s="531"/>
      <c r="T451" s="531"/>
      <c r="U451" s="531"/>
      <c r="V451" s="531"/>
      <c r="W451" s="531"/>
      <c r="X451" s="531"/>
      <c r="Y451" s="531"/>
      <c r="Z451" s="531"/>
      <c r="AA451" s="531"/>
    </row>
    <row r="452" spans="1:27" s="457" customFormat="1" ht="5.9" customHeight="1">
      <c r="A452" s="17"/>
      <c r="B452" s="17"/>
      <c r="C452" s="23"/>
      <c r="D452" s="18"/>
      <c r="E452" s="19"/>
      <c r="F452" s="17"/>
      <c r="G452" s="527"/>
      <c r="H452" s="20"/>
      <c r="I452" s="17"/>
      <c r="J452" s="17"/>
      <c r="K452" s="17"/>
      <c r="L452" s="224"/>
      <c r="M452" s="402"/>
      <c r="N452" s="531"/>
      <c r="O452" s="531"/>
      <c r="P452" s="531"/>
      <c r="Q452" s="531"/>
      <c r="R452" s="531"/>
      <c r="S452" s="531"/>
      <c r="T452" s="531"/>
      <c r="U452" s="531"/>
      <c r="V452" s="531"/>
      <c r="W452" s="531"/>
      <c r="X452" s="531"/>
      <c r="Y452" s="531"/>
      <c r="Z452" s="531"/>
      <c r="AA452" s="531"/>
    </row>
    <row r="453" spans="1:27" s="457" customFormat="1" ht="14.15" customHeight="1">
      <c r="A453" s="17"/>
      <c r="B453" s="17"/>
      <c r="C453" s="23" t="s">
        <v>85</v>
      </c>
      <c r="D453" s="21">
        <f>INDEX(Tragwerk!M96:O96,1,MATCH(Eingabe!$C$4,Tragwerk!$M$14:$O$14))</f>
        <v>8.7186456326912978E-2</v>
      </c>
      <c r="E453" s="19" t="s">
        <v>7</v>
      </c>
      <c r="F453" s="17"/>
      <c r="G453" s="527" t="s">
        <v>515</v>
      </c>
      <c r="H453" s="20"/>
      <c r="I453" s="17"/>
      <c r="J453" s="17"/>
      <c r="K453" s="17"/>
      <c r="L453" s="224"/>
      <c r="M453" s="402"/>
      <c r="N453" s="531"/>
      <c r="O453" s="531"/>
      <c r="P453" s="531"/>
      <c r="Q453" s="531"/>
      <c r="R453" s="531"/>
      <c r="S453" s="531"/>
      <c r="T453" s="531"/>
      <c r="U453" s="531"/>
      <c r="V453" s="531"/>
      <c r="W453" s="531"/>
      <c r="X453" s="531"/>
      <c r="Y453" s="531"/>
      <c r="Z453" s="531"/>
      <c r="AA453" s="531"/>
    </row>
    <row r="454" spans="1:27" s="457" customFormat="1" ht="14.15" customHeight="1">
      <c r="A454" s="17"/>
      <c r="B454" s="17"/>
      <c r="C454" s="23" t="s">
        <v>87</v>
      </c>
      <c r="D454" s="21">
        <f>INDEX(Tragwerk!M97:O97,1,MATCH(Eingabe!$C$4,Tragwerk!$M$14:$O$14))</f>
        <v>0.98527348951092064</v>
      </c>
      <c r="E454" s="19" t="s">
        <v>7</v>
      </c>
      <c r="F454" s="17"/>
      <c r="G454" s="527" t="s">
        <v>519</v>
      </c>
      <c r="H454" s="20"/>
      <c r="I454" s="17"/>
      <c r="J454" s="17"/>
      <c r="K454" s="17"/>
      <c r="L454" s="224"/>
      <c r="M454" s="402"/>
      <c r="N454" s="531"/>
      <c r="O454" s="531"/>
      <c r="P454" s="531"/>
      <c r="Q454" s="531"/>
      <c r="R454" s="531"/>
      <c r="S454" s="531"/>
      <c r="T454" s="531"/>
      <c r="U454" s="531"/>
      <c r="V454" s="531"/>
      <c r="W454" s="531"/>
      <c r="X454" s="531"/>
      <c r="Y454" s="531"/>
      <c r="Z454" s="531"/>
      <c r="AA454" s="531"/>
    </row>
    <row r="455" spans="1:27" s="457" customFormat="1" ht="3.45" customHeight="1">
      <c r="A455" s="17"/>
      <c r="B455" s="17"/>
      <c r="C455" s="23"/>
      <c r="D455" s="18"/>
      <c r="E455" s="19"/>
      <c r="F455" s="17"/>
      <c r="G455" s="527"/>
      <c r="H455" s="20"/>
      <c r="I455" s="17"/>
      <c r="J455" s="17"/>
      <c r="K455" s="17"/>
      <c r="L455" s="224"/>
      <c r="M455" s="402"/>
      <c r="N455" s="531"/>
      <c r="O455" s="531"/>
      <c r="P455" s="531"/>
      <c r="Q455" s="531"/>
      <c r="R455" s="531"/>
      <c r="S455" s="531"/>
      <c r="T455" s="531"/>
      <c r="U455" s="531"/>
      <c r="V455" s="531"/>
      <c r="W455" s="531"/>
      <c r="X455" s="531"/>
      <c r="Y455" s="531"/>
      <c r="Z455" s="531"/>
      <c r="AA455" s="531"/>
    </row>
    <row r="456" spans="1:27" s="1" customFormat="1" ht="13" customHeight="1">
      <c r="A456" s="17"/>
      <c r="B456" s="17"/>
      <c r="C456" s="25" t="s">
        <v>549</v>
      </c>
      <c r="D456" s="26">
        <f>INDEX(Tragwerk!M99:O99,1,MATCH(Eingabe!$C$4,Tragwerk!$M$14:$O$14))</f>
        <v>0.89371662153152809</v>
      </c>
      <c r="E456" s="520" t="s">
        <v>7</v>
      </c>
      <c r="F456" s="27"/>
      <c r="G456" s="527" t="s">
        <v>1324</v>
      </c>
      <c r="H456" s="20"/>
      <c r="I456" s="17"/>
      <c r="J456" s="17"/>
      <c r="K456" s="17"/>
      <c r="L456" s="224"/>
      <c r="M456" s="402"/>
      <c r="N456" s="531"/>
      <c r="O456" s="531"/>
      <c r="P456" s="531"/>
      <c r="Q456" s="531"/>
      <c r="R456" s="531"/>
      <c r="S456" s="531"/>
      <c r="T456" s="531"/>
      <c r="U456" s="531"/>
      <c r="V456" s="531"/>
      <c r="W456" s="531"/>
      <c r="X456" s="531"/>
      <c r="Y456" s="531"/>
      <c r="Z456" s="531"/>
      <c r="AA456" s="531"/>
    </row>
    <row r="457" spans="1:27" s="1" customFormat="1" ht="5.9" customHeight="1">
      <c r="A457" s="17"/>
      <c r="B457" s="17"/>
      <c r="C457" s="23"/>
      <c r="D457" s="18"/>
      <c r="E457" s="19"/>
      <c r="F457" s="17"/>
      <c r="G457" s="527"/>
      <c r="H457" s="20"/>
      <c r="I457" s="17"/>
      <c r="J457" s="17"/>
      <c r="K457" s="17"/>
      <c r="L457" s="224"/>
      <c r="M457" s="402"/>
      <c r="N457" s="531"/>
      <c r="O457" s="531"/>
      <c r="P457" s="531"/>
      <c r="Q457" s="531"/>
      <c r="R457" s="531"/>
      <c r="S457" s="531"/>
      <c r="T457" s="531"/>
      <c r="U457" s="531"/>
      <c r="V457" s="531"/>
      <c r="W457" s="531"/>
      <c r="X457" s="531"/>
      <c r="Y457" s="531"/>
      <c r="Z457" s="531"/>
      <c r="AA457" s="531"/>
    </row>
    <row r="458" spans="1:27" s="1" customFormat="1" ht="13" customHeight="1">
      <c r="A458" s="1099" t="s">
        <v>300</v>
      </c>
      <c r="B458" s="1099"/>
      <c r="C458" s="1099"/>
      <c r="D458" s="1099"/>
      <c r="E458" s="1099"/>
      <c r="F458" s="1099"/>
      <c r="G458" s="1099"/>
      <c r="H458" s="1099"/>
      <c r="I458" s="1099"/>
      <c r="J458" s="1099"/>
      <c r="K458" s="504"/>
      <c r="L458" s="224"/>
      <c r="M458" s="402"/>
      <c r="N458" s="531"/>
      <c r="O458" s="531"/>
      <c r="P458" s="531"/>
      <c r="Q458" s="531"/>
      <c r="R458" s="531"/>
      <c r="S458" s="531"/>
      <c r="T458" s="531"/>
      <c r="U458" s="531"/>
      <c r="V458" s="531"/>
      <c r="W458" s="531"/>
      <c r="X458" s="531"/>
      <c r="Y458" s="531"/>
      <c r="Z458" s="531"/>
      <c r="AA458" s="531"/>
    </row>
    <row r="459" spans="1:27" s="1" customFormat="1" ht="5.5" customHeight="1">
      <c r="A459" s="228"/>
      <c r="B459" s="242"/>
      <c r="C459" s="242"/>
      <c r="D459" s="242"/>
      <c r="E459" s="242"/>
      <c r="F459" s="242"/>
      <c r="G459" s="242"/>
      <c r="H459" s="242"/>
      <c r="I459" s="242"/>
      <c r="J459" s="242"/>
      <c r="K459" s="228"/>
      <c r="L459" s="224"/>
      <c r="M459" s="402"/>
      <c r="N459" s="531"/>
      <c r="O459" s="531"/>
      <c r="P459" s="531"/>
      <c r="Q459" s="531"/>
      <c r="R459" s="531"/>
      <c r="S459" s="531"/>
      <c r="T459" s="531"/>
      <c r="U459" s="531"/>
      <c r="V459" s="531"/>
      <c r="W459" s="531"/>
      <c r="X459" s="531"/>
      <c r="Y459" s="531"/>
      <c r="Z459" s="531"/>
      <c r="AA459" s="531"/>
    </row>
    <row r="460" spans="1:27" s="1" customFormat="1" ht="13" customHeight="1">
      <c r="A460" s="1032" t="s">
        <v>514</v>
      </c>
      <c r="B460" s="1032"/>
      <c r="C460" s="1032"/>
      <c r="D460" s="1032"/>
      <c r="E460" s="1032"/>
      <c r="F460" s="1032"/>
      <c r="G460" s="1032"/>
      <c r="H460" s="1032"/>
      <c r="I460" s="1032"/>
      <c r="J460" s="1032"/>
      <c r="K460" s="520"/>
      <c r="L460" s="224"/>
      <c r="M460" s="402"/>
      <c r="N460" s="531"/>
      <c r="O460" s="531"/>
      <c r="P460" s="531"/>
      <c r="Q460" s="531"/>
      <c r="R460" s="531"/>
      <c r="S460" s="531"/>
      <c r="T460" s="531"/>
      <c r="U460" s="531"/>
      <c r="V460" s="531"/>
      <c r="W460" s="531"/>
      <c r="X460" s="531"/>
      <c r="Y460" s="531"/>
      <c r="Z460" s="531"/>
      <c r="AA460" s="531"/>
    </row>
    <row r="461" spans="1:27" s="1" customFormat="1" ht="13" customHeight="1">
      <c r="A461" s="17"/>
      <c r="B461" s="14" t="s">
        <v>1</v>
      </c>
      <c r="C461" s="232"/>
      <c r="D461" s="232"/>
      <c r="E461" s="232"/>
      <c r="F461" s="17"/>
      <c r="G461" s="527"/>
      <c r="H461" s="527"/>
      <c r="I461" s="527"/>
      <c r="J461" s="527"/>
      <c r="K461" s="17"/>
      <c r="L461" s="224"/>
      <c r="M461" s="402"/>
      <c r="N461" s="531"/>
      <c r="O461" s="531"/>
      <c r="P461" s="531"/>
      <c r="Q461" s="531"/>
      <c r="R461" s="531"/>
      <c r="S461" s="531"/>
      <c r="T461" s="531"/>
      <c r="U461" s="531"/>
      <c r="V461" s="531"/>
      <c r="W461" s="531"/>
      <c r="X461" s="531"/>
      <c r="Y461" s="531"/>
      <c r="Z461" s="531"/>
      <c r="AA461" s="531"/>
    </row>
    <row r="462" spans="1:27" s="1" customFormat="1" ht="13" customHeight="1">
      <c r="A462" s="17"/>
      <c r="B462" s="17"/>
      <c r="C462" s="527" t="s">
        <v>4</v>
      </c>
      <c r="D462" s="21">
        <f>INDEX(Kappe!L17:N17,1,MATCH(Eingabe!$C$4,Kappe!$L$12:$N$12))</f>
        <v>247</v>
      </c>
      <c r="E462" s="19" t="s">
        <v>2</v>
      </c>
      <c r="F462" s="17"/>
      <c r="G462" s="527" t="s">
        <v>361</v>
      </c>
      <c r="H462" s="527"/>
      <c r="I462" s="527"/>
      <c r="J462" s="527"/>
      <c r="K462" s="17"/>
      <c r="L462" s="224"/>
      <c r="M462" s="402"/>
      <c r="N462" s="531"/>
      <c r="O462" s="531"/>
      <c r="P462" s="531"/>
      <c r="Q462" s="531"/>
      <c r="R462" s="531"/>
      <c r="S462" s="531"/>
      <c r="T462" s="531"/>
      <c r="U462" s="531"/>
      <c r="V462" s="531"/>
      <c r="W462" s="531"/>
      <c r="X462" s="531"/>
      <c r="Y462" s="531"/>
      <c r="Z462" s="531"/>
      <c r="AA462" s="531"/>
    </row>
    <row r="463" spans="1:27" s="1" customFormat="1" ht="13" customHeight="1">
      <c r="A463" s="17"/>
      <c r="B463" s="17"/>
      <c r="C463" s="17" t="s">
        <v>3</v>
      </c>
      <c r="D463" s="21">
        <f>Kappe!$L$18</f>
        <v>1.87</v>
      </c>
      <c r="E463" s="19" t="s">
        <v>7</v>
      </c>
      <c r="F463" s="17"/>
      <c r="G463" s="527" t="s">
        <v>359</v>
      </c>
      <c r="H463" s="527"/>
      <c r="I463" s="527"/>
      <c r="J463" s="527"/>
      <c r="K463" s="17"/>
      <c r="L463" s="224"/>
      <c r="M463" s="402"/>
      <c r="N463" s="531"/>
      <c r="O463" s="531"/>
      <c r="P463" s="531"/>
      <c r="Q463" s="531"/>
      <c r="R463" s="531"/>
      <c r="S463" s="531"/>
      <c r="T463" s="531"/>
      <c r="U463" s="531"/>
      <c r="V463" s="531"/>
      <c r="W463" s="531"/>
      <c r="X463" s="531"/>
      <c r="Y463" s="531"/>
      <c r="Z463" s="531"/>
      <c r="AA463" s="531"/>
    </row>
    <row r="464" spans="1:27" s="1" customFormat="1" ht="13" customHeight="1">
      <c r="A464" s="17"/>
      <c r="B464" s="17"/>
      <c r="C464" s="527" t="s">
        <v>64</v>
      </c>
      <c r="D464" s="21">
        <f>INDEX(Kappe!L19:N19,1,MATCH(Eingabe!$C$4,Kappe!$L$12:$N$12))</f>
        <v>132.08556149732618</v>
      </c>
      <c r="E464" s="19" t="s">
        <v>2</v>
      </c>
      <c r="F464" s="17"/>
      <c r="G464" s="527" t="s">
        <v>73</v>
      </c>
      <c r="H464" s="527"/>
      <c r="I464" s="527"/>
      <c r="J464" s="527"/>
      <c r="K464" s="17"/>
      <c r="L464" s="224"/>
      <c r="M464" s="402"/>
      <c r="N464" s="531"/>
      <c r="O464" s="531"/>
      <c r="P464" s="531"/>
      <c r="Q464" s="531"/>
      <c r="R464" s="531"/>
      <c r="S464" s="531"/>
      <c r="T464" s="531"/>
      <c r="U464" s="531"/>
      <c r="V464" s="531"/>
      <c r="W464" s="531"/>
      <c r="X464" s="531"/>
      <c r="Y464" s="531"/>
      <c r="Z464" s="531"/>
      <c r="AA464" s="531"/>
    </row>
    <row r="465" spans="1:27" s="1" customFormat="1" ht="13" customHeight="1">
      <c r="A465" s="17"/>
      <c r="B465" s="17"/>
      <c r="C465" s="527" t="s">
        <v>306</v>
      </c>
      <c r="D465" s="21">
        <f>Kappe!$L$53</f>
        <v>4.7057430951337125</v>
      </c>
      <c r="E465" s="19" t="s">
        <v>2</v>
      </c>
      <c r="F465" s="17"/>
      <c r="G465" s="527" t="s">
        <v>75</v>
      </c>
      <c r="H465" s="527"/>
      <c r="I465" s="527"/>
      <c r="J465" s="527"/>
      <c r="K465" s="17"/>
      <c r="L465" s="224"/>
      <c r="M465" s="402"/>
      <c r="N465" s="531"/>
      <c r="O465" s="531"/>
      <c r="P465" s="531"/>
      <c r="Q465" s="531"/>
      <c r="R465" s="531"/>
      <c r="S465" s="531"/>
      <c r="T465" s="531"/>
      <c r="U465" s="531"/>
      <c r="V465" s="531"/>
      <c r="W465" s="531"/>
      <c r="X465" s="531"/>
      <c r="Y465" s="531"/>
      <c r="Z465" s="531"/>
      <c r="AA465" s="531"/>
    </row>
    <row r="466" spans="1:27" s="1" customFormat="1" ht="13" customHeight="1">
      <c r="A466" s="17"/>
      <c r="B466" s="17"/>
      <c r="C466" s="25" t="s">
        <v>88</v>
      </c>
      <c r="D466" s="26">
        <f>D465/D464</f>
        <v>3.5626476064372643E-2</v>
      </c>
      <c r="E466" s="520" t="s">
        <v>7</v>
      </c>
      <c r="F466" s="27"/>
      <c r="G466" s="24" t="s">
        <v>46</v>
      </c>
      <c r="H466" s="527"/>
      <c r="I466" s="527"/>
      <c r="J466" s="527"/>
      <c r="K466" s="17"/>
      <c r="L466" s="224"/>
      <c r="M466" s="402"/>
      <c r="N466" s="531"/>
      <c r="O466" s="531"/>
      <c r="P466" s="531"/>
      <c r="Q466" s="531"/>
      <c r="R466" s="531"/>
      <c r="S466" s="531"/>
      <c r="T466" s="531"/>
      <c r="U466" s="531"/>
      <c r="V466" s="531"/>
      <c r="W466" s="531"/>
      <c r="X466" s="531"/>
      <c r="Y466" s="531"/>
      <c r="Z466" s="531"/>
      <c r="AA466" s="531"/>
    </row>
    <row r="467" spans="1:27" s="1" customFormat="1" ht="5.5" customHeight="1">
      <c r="A467" s="228"/>
      <c r="B467" s="240"/>
      <c r="C467" s="240"/>
      <c r="D467" s="240"/>
      <c r="E467" s="240"/>
      <c r="F467" s="240"/>
      <c r="G467" s="240"/>
      <c r="H467" s="240"/>
      <c r="I467" s="240"/>
      <c r="J467" s="242"/>
      <c r="K467" s="228"/>
      <c r="L467" s="224"/>
      <c r="M467" s="402"/>
      <c r="N467" s="531"/>
      <c r="O467" s="531"/>
      <c r="P467" s="531"/>
      <c r="Q467" s="531"/>
      <c r="R467" s="531"/>
      <c r="S467" s="531"/>
      <c r="T467" s="531"/>
      <c r="U467" s="531"/>
      <c r="V467" s="531"/>
      <c r="W467" s="531"/>
      <c r="X467" s="531"/>
      <c r="Y467" s="531"/>
      <c r="Z467" s="531"/>
      <c r="AA467" s="531"/>
    </row>
    <row r="468" spans="1:27" s="1" customFormat="1" ht="13" customHeight="1">
      <c r="A468" s="224"/>
      <c r="B468" s="233" t="s">
        <v>5</v>
      </c>
      <c r="C468" s="19"/>
      <c r="D468" s="19"/>
      <c r="E468" s="17"/>
      <c r="F468" s="17"/>
      <c r="G468" s="527"/>
      <c r="H468" s="527"/>
      <c r="I468" s="527"/>
      <c r="J468" s="225"/>
      <c r="K468" s="224"/>
      <c r="L468" s="224"/>
      <c r="M468" s="402"/>
      <c r="N468" s="531"/>
      <c r="O468" s="531"/>
      <c r="P468" s="531"/>
      <c r="Q468" s="531"/>
      <c r="R468" s="531"/>
      <c r="S468" s="531"/>
      <c r="T468" s="531"/>
      <c r="U468" s="531"/>
      <c r="V468" s="531"/>
      <c r="W468" s="531"/>
      <c r="X468" s="531"/>
      <c r="Y468" s="531"/>
      <c r="Z468" s="531"/>
      <c r="AA468" s="531"/>
    </row>
    <row r="469" spans="1:27" s="1" customFormat="1" ht="13" customHeight="1">
      <c r="A469" s="224"/>
      <c r="B469" s="233"/>
      <c r="C469" s="234" t="s">
        <v>115</v>
      </c>
      <c r="D469" s="18">
        <f>INDEX(Kappe!L21:N21,1,MATCH(Eingabe!$C$4,Kappe!$L$12:$N$12))</f>
        <v>565</v>
      </c>
      <c r="E469" s="19" t="s">
        <v>16</v>
      </c>
      <c r="F469" s="17"/>
      <c r="G469" s="527" t="s">
        <v>137</v>
      </c>
      <c r="H469" s="527"/>
      <c r="I469" s="527"/>
      <c r="J469" s="225"/>
      <c r="K469" s="224"/>
      <c r="L469" s="224"/>
      <c r="M469" s="402"/>
      <c r="N469" s="531"/>
      <c r="O469" s="531"/>
      <c r="P469" s="531"/>
      <c r="Q469" s="531"/>
      <c r="R469" s="531"/>
      <c r="S469" s="531"/>
      <c r="T469" s="531"/>
      <c r="U469" s="531"/>
      <c r="V469" s="531"/>
      <c r="W469" s="531"/>
      <c r="X469" s="531"/>
      <c r="Y469" s="531"/>
      <c r="Z469" s="531"/>
      <c r="AA469" s="531"/>
    </row>
    <row r="470" spans="1:27" s="650" customFormat="1" ht="13" customHeight="1">
      <c r="A470" s="224"/>
      <c r="B470" s="233"/>
      <c r="C470" s="667" t="s">
        <v>1152</v>
      </c>
      <c r="D470" s="669">
        <f>Eingabe!N3</f>
        <v>1</v>
      </c>
      <c r="E470" s="19" t="s">
        <v>7</v>
      </c>
      <c r="F470" s="217"/>
      <c r="G470" s="527" t="s">
        <v>1151</v>
      </c>
      <c r="H470" s="527"/>
      <c r="I470" s="527"/>
      <c r="J470" s="225"/>
      <c r="K470" s="224"/>
      <c r="L470" s="224"/>
      <c r="M470" s="402"/>
    </row>
    <row r="471" spans="1:27" s="1" customFormat="1" ht="13" customHeight="1">
      <c r="A471" s="224"/>
      <c r="B471" s="233"/>
      <c r="C471" s="234" t="s">
        <v>6</v>
      </c>
      <c r="D471" s="21">
        <f>INDEX(Kappe!L22:N22,1,MATCH(Eingabe!$C$4,Kappe!$L$12:$N$12))</f>
        <v>101.7</v>
      </c>
      <c r="E471" s="19" t="s">
        <v>2</v>
      </c>
      <c r="F471" s="17"/>
      <c r="G471" s="527" t="s">
        <v>1324</v>
      </c>
      <c r="H471" s="527"/>
      <c r="I471" s="527"/>
      <c r="J471" s="225"/>
      <c r="K471" s="224"/>
      <c r="L471" s="224"/>
      <c r="M471" s="402"/>
      <c r="N471" s="531"/>
      <c r="O471" s="531"/>
      <c r="P471" s="531"/>
      <c r="Q471" s="531"/>
      <c r="R471" s="531"/>
      <c r="S471" s="531"/>
      <c r="T471" s="531"/>
      <c r="U471" s="531"/>
      <c r="V471" s="531"/>
      <c r="W471" s="531"/>
      <c r="X471" s="531"/>
      <c r="Y471" s="531"/>
      <c r="Z471" s="531"/>
      <c r="AA471" s="531"/>
    </row>
    <row r="472" spans="1:27" s="1" customFormat="1" ht="13" customHeight="1">
      <c r="A472" s="224"/>
      <c r="B472" s="233"/>
      <c r="C472" s="234" t="s">
        <v>108</v>
      </c>
      <c r="D472" s="18">
        <f>Kappe!L23</f>
        <v>1.2</v>
      </c>
      <c r="E472" s="19" t="s">
        <v>7</v>
      </c>
      <c r="F472" s="17"/>
      <c r="G472" s="527" t="s">
        <v>1324</v>
      </c>
      <c r="H472" s="527"/>
      <c r="I472" s="527"/>
      <c r="J472" s="225"/>
      <c r="K472" s="224"/>
      <c r="L472" s="224"/>
      <c r="M472" s="531"/>
      <c r="N472" s="531"/>
      <c r="O472" s="531"/>
      <c r="P472" s="531"/>
      <c r="Q472" s="531"/>
      <c r="R472" s="531"/>
      <c r="S472" s="531"/>
      <c r="T472" s="531"/>
      <c r="U472" s="531"/>
      <c r="V472" s="531"/>
      <c r="W472" s="531"/>
      <c r="X472" s="531"/>
      <c r="Y472" s="531"/>
      <c r="Z472" s="531"/>
      <c r="AA472" s="531"/>
    </row>
    <row r="473" spans="1:27" s="1" customFormat="1" ht="13" customHeight="1">
      <c r="A473" s="224"/>
      <c r="B473" s="233"/>
      <c r="C473" s="234" t="s">
        <v>123</v>
      </c>
      <c r="D473" s="21">
        <f>INDEX(Kappe!L24:N24,1,MATCH(Eingabe!$C$4,Kappe!$L$12:$N$12))</f>
        <v>84.75</v>
      </c>
      <c r="E473" s="19" t="s">
        <v>2</v>
      </c>
      <c r="F473" s="17"/>
      <c r="G473" s="527" t="s">
        <v>73</v>
      </c>
      <c r="H473" s="527"/>
      <c r="I473" s="527"/>
      <c r="J473" s="225"/>
      <c r="K473" s="224"/>
      <c r="L473" s="224"/>
      <c r="M473" s="531"/>
      <c r="N473" s="531"/>
      <c r="O473" s="531"/>
      <c r="P473" s="531"/>
      <c r="Q473" s="531"/>
      <c r="R473" s="531"/>
      <c r="S473" s="531"/>
      <c r="T473" s="531"/>
      <c r="U473" s="531"/>
      <c r="V473" s="531"/>
      <c r="W473" s="531"/>
      <c r="X473" s="531"/>
      <c r="Y473" s="531"/>
      <c r="Z473" s="531"/>
      <c r="AA473" s="531"/>
    </row>
    <row r="474" spans="1:27" s="1" customFormat="1" ht="13" customHeight="1">
      <c r="A474" s="224"/>
      <c r="B474" s="233"/>
      <c r="C474" s="527" t="s">
        <v>306</v>
      </c>
      <c r="D474" s="21">
        <f>Kappe!$L$53</f>
        <v>4.7057430951337125</v>
      </c>
      <c r="E474" s="19" t="s">
        <v>2</v>
      </c>
      <c r="F474" s="17"/>
      <c r="G474" s="527" t="s">
        <v>75</v>
      </c>
      <c r="H474" s="527"/>
      <c r="I474" s="527"/>
      <c r="J474" s="225"/>
      <c r="K474" s="224"/>
      <c r="L474" s="224"/>
      <c r="M474" s="531"/>
      <c r="N474" s="531"/>
      <c r="O474" s="531"/>
      <c r="P474" s="531"/>
      <c r="Q474" s="531"/>
      <c r="R474" s="531"/>
      <c r="S474" s="531"/>
      <c r="T474" s="531"/>
      <c r="U474" s="531"/>
      <c r="V474" s="531"/>
      <c r="W474" s="531"/>
      <c r="X474" s="531"/>
      <c r="Y474" s="531"/>
      <c r="Z474" s="531"/>
      <c r="AA474" s="531"/>
    </row>
    <row r="475" spans="1:27" s="1" customFormat="1" ht="13" customHeight="1">
      <c r="A475" s="224"/>
      <c r="B475" s="233"/>
      <c r="C475" s="25" t="s">
        <v>122</v>
      </c>
      <c r="D475" s="26">
        <f>D474/D473</f>
        <v>5.552499227296416E-2</v>
      </c>
      <c r="E475" s="520" t="s">
        <v>7</v>
      </c>
      <c r="F475" s="27"/>
      <c r="G475" s="24" t="s">
        <v>46</v>
      </c>
      <c r="H475" s="527"/>
      <c r="I475" s="527"/>
      <c r="J475" s="225"/>
      <c r="K475" s="224"/>
      <c r="L475" s="224"/>
      <c r="M475" s="531"/>
      <c r="N475" s="531"/>
      <c r="O475" s="531"/>
      <c r="P475" s="531"/>
      <c r="Q475" s="531"/>
      <c r="R475" s="531"/>
      <c r="S475" s="531"/>
      <c r="T475" s="531"/>
      <c r="U475" s="531"/>
      <c r="V475" s="531"/>
      <c r="W475" s="531"/>
      <c r="X475" s="531"/>
      <c r="Y475" s="531"/>
      <c r="Z475" s="531"/>
      <c r="AA475" s="531"/>
    </row>
    <row r="476" spans="1:27" s="1" customFormat="1" ht="5.5" customHeight="1">
      <c r="A476" s="228"/>
      <c r="B476" s="242"/>
      <c r="C476" s="242"/>
      <c r="D476" s="242"/>
      <c r="E476" s="242"/>
      <c r="F476" s="242"/>
      <c r="G476" s="242"/>
      <c r="H476" s="242"/>
      <c r="I476" s="242"/>
      <c r="J476" s="242"/>
      <c r="K476" s="228"/>
      <c r="L476" s="224"/>
      <c r="M476" s="531"/>
      <c r="N476" s="531"/>
      <c r="O476" s="531"/>
      <c r="P476" s="531"/>
      <c r="Q476" s="531"/>
      <c r="R476" s="531"/>
      <c r="S476" s="531"/>
      <c r="T476" s="531"/>
      <c r="U476" s="531"/>
      <c r="V476" s="531"/>
      <c r="W476" s="531"/>
      <c r="X476" s="531"/>
      <c r="Y476" s="531"/>
      <c r="Z476" s="531"/>
      <c r="AA476" s="531"/>
    </row>
    <row r="477" spans="1:27" s="1" customFormat="1">
      <c r="A477" s="224"/>
      <c r="B477" s="233" t="s">
        <v>8</v>
      </c>
      <c r="C477" s="19"/>
      <c r="D477" s="19"/>
      <c r="E477" s="17"/>
      <c r="F477" s="17"/>
      <c r="G477" s="527"/>
      <c r="H477" s="527"/>
      <c r="I477" s="527"/>
      <c r="J477" s="527"/>
      <c r="K477" s="224"/>
      <c r="L477" s="224"/>
      <c r="M477" s="531"/>
      <c r="N477" s="531"/>
      <c r="O477" s="531"/>
      <c r="P477" s="531"/>
      <c r="Q477" s="531"/>
      <c r="R477" s="531"/>
      <c r="S477" s="531"/>
      <c r="T477" s="531"/>
      <c r="U477" s="531"/>
      <c r="V477" s="531"/>
      <c r="W477" s="531"/>
      <c r="X477" s="531"/>
      <c r="Y477" s="531"/>
      <c r="Z477" s="531"/>
      <c r="AA477" s="531"/>
    </row>
    <row r="478" spans="1:27" s="1" customFormat="1" ht="13" customHeight="1">
      <c r="A478" s="224"/>
      <c r="B478" s="17"/>
      <c r="C478" s="527" t="s">
        <v>78</v>
      </c>
      <c r="D478" s="21">
        <f>INDEX(Kappe!L27:N27,1,MATCH(Eingabe!$C$4,Kappe!$L$12:$N$12))</f>
        <v>30.846077222233625</v>
      </c>
      <c r="E478" s="19" t="s">
        <v>2</v>
      </c>
      <c r="F478" s="17"/>
      <c r="G478" s="527" t="s">
        <v>1324</v>
      </c>
      <c r="H478" s="527"/>
      <c r="I478" s="527"/>
      <c r="J478" s="527"/>
      <c r="K478" s="224"/>
      <c r="L478" s="224"/>
      <c r="M478" s="531"/>
      <c r="N478" s="531"/>
      <c r="O478" s="531"/>
      <c r="P478" s="531"/>
      <c r="Q478" s="531"/>
      <c r="R478" s="531"/>
      <c r="S478" s="531"/>
      <c r="T478" s="531"/>
      <c r="U478" s="531"/>
      <c r="V478" s="531"/>
      <c r="W478" s="531"/>
      <c r="X478" s="531"/>
      <c r="Y478" s="531"/>
      <c r="Z478" s="531"/>
      <c r="AA478" s="531"/>
    </row>
    <row r="479" spans="1:27" s="1" customFormat="1" ht="13" customHeight="1">
      <c r="A479" s="224"/>
      <c r="B479" s="17"/>
      <c r="C479" s="527" t="s">
        <v>79</v>
      </c>
      <c r="D479" s="20">
        <f>INDEX(Kappe!L28:N28,1,MATCH(Eingabe!$C$4,Kappe!$L$12:$N$12))</f>
        <v>51984</v>
      </c>
      <c r="E479" s="19" t="s">
        <v>16</v>
      </c>
      <c r="F479" s="17"/>
      <c r="G479" s="527" t="s">
        <v>1324</v>
      </c>
      <c r="H479" s="527"/>
      <c r="I479" s="527"/>
      <c r="J479" s="527"/>
      <c r="K479" s="224"/>
      <c r="L479" s="224"/>
      <c r="M479" s="531"/>
      <c r="N479" s="531"/>
      <c r="O479" s="531"/>
      <c r="P479" s="531"/>
      <c r="Q479" s="531"/>
      <c r="R479" s="531"/>
      <c r="S479" s="531"/>
      <c r="T479" s="531"/>
      <c r="U479" s="531"/>
      <c r="V479" s="531"/>
      <c r="W479" s="531"/>
      <c r="X479" s="531"/>
      <c r="Y479" s="531"/>
      <c r="Z479" s="531"/>
      <c r="AA479" s="531"/>
    </row>
    <row r="480" spans="1:27" s="1" customFormat="1" ht="13" customHeight="1">
      <c r="A480" s="224"/>
      <c r="B480" s="17"/>
      <c r="C480" s="527" t="s">
        <v>80</v>
      </c>
      <c r="D480" s="20">
        <f>INDEX(Kappe!L29:N29,1,MATCH(Eingabe!$C$4,Kappe!$L$12:$N$12))</f>
        <v>69168</v>
      </c>
      <c r="E480" s="19" t="s">
        <v>16</v>
      </c>
      <c r="F480" s="17"/>
      <c r="G480" s="527" t="s">
        <v>1324</v>
      </c>
      <c r="H480" s="527"/>
      <c r="I480" s="527"/>
      <c r="J480" s="527"/>
      <c r="K480" s="224"/>
      <c r="L480" s="224"/>
      <c r="M480" s="531"/>
      <c r="N480" s="531"/>
      <c r="O480" s="531"/>
      <c r="P480" s="531"/>
      <c r="Q480" s="531"/>
      <c r="R480" s="531"/>
      <c r="S480" s="531"/>
      <c r="T480" s="531"/>
      <c r="U480" s="531"/>
      <c r="V480" s="531"/>
      <c r="W480" s="531"/>
      <c r="X480" s="531"/>
      <c r="Y480" s="531"/>
      <c r="Z480" s="531"/>
      <c r="AA480" s="531"/>
    </row>
    <row r="481" spans="1:27" s="1" customFormat="1" ht="13" customHeight="1">
      <c r="A481" s="224"/>
      <c r="B481" s="17"/>
      <c r="C481" s="527" t="s">
        <v>10</v>
      </c>
      <c r="D481" s="18">
        <f>Kappe!$L$26</f>
        <v>8.5</v>
      </c>
      <c r="E481" s="19" t="s">
        <v>7</v>
      </c>
      <c r="F481" s="17"/>
      <c r="G481" s="527" t="s">
        <v>1324</v>
      </c>
      <c r="H481" s="527"/>
      <c r="I481" s="527"/>
      <c r="J481" s="527"/>
      <c r="K481" s="224"/>
      <c r="L481" s="224"/>
      <c r="M481" s="531"/>
      <c r="N481" s="531"/>
      <c r="O481" s="531"/>
      <c r="P481" s="531"/>
      <c r="Q481" s="531"/>
      <c r="R481" s="531"/>
      <c r="S481" s="531"/>
      <c r="T481" s="531"/>
      <c r="U481" s="531"/>
      <c r="V481" s="531"/>
      <c r="W481" s="531"/>
      <c r="X481" s="531"/>
      <c r="Y481" s="531"/>
      <c r="Z481" s="531"/>
      <c r="AA481" s="531"/>
    </row>
    <row r="482" spans="1:27" s="1" customFormat="1" ht="13" customHeight="1">
      <c r="A482" s="224"/>
      <c r="B482" s="17"/>
      <c r="C482" s="23" t="s">
        <v>81</v>
      </c>
      <c r="D482" s="21">
        <f>INDEX(Kappe!L30:N30,1,MATCH(Eingabe!$C$4,Kappe!$L$12:$N$12))</f>
        <v>1</v>
      </c>
      <c r="E482" s="19" t="s">
        <v>7</v>
      </c>
      <c r="F482" s="17"/>
      <c r="G482" s="527" t="s">
        <v>1324</v>
      </c>
      <c r="H482" s="527"/>
      <c r="I482" s="527"/>
      <c r="J482" s="527"/>
      <c r="K482" s="224"/>
      <c r="L482" s="224"/>
      <c r="M482" s="531"/>
      <c r="N482" s="531"/>
      <c r="O482" s="531"/>
      <c r="P482" s="531"/>
      <c r="Q482" s="531"/>
      <c r="R482" s="531"/>
      <c r="S482" s="531"/>
      <c r="T482" s="531"/>
      <c r="U482" s="531"/>
      <c r="V482" s="531"/>
      <c r="W482" s="531"/>
      <c r="X482" s="531"/>
      <c r="Y482" s="531"/>
      <c r="Z482" s="531"/>
      <c r="AA482" s="531"/>
    </row>
    <row r="483" spans="1:27" s="1" customFormat="1" ht="13" customHeight="1">
      <c r="A483" s="224"/>
      <c r="B483" s="17"/>
      <c r="C483" s="23" t="s">
        <v>82</v>
      </c>
      <c r="D483" s="21">
        <f>INDEX(Kappe!L31:N31,1,MATCH(Eingabe!$C$4,Kappe!$L$12:$N$12))</f>
        <v>1</v>
      </c>
      <c r="E483" s="19" t="s">
        <v>7</v>
      </c>
      <c r="F483" s="17"/>
      <c r="G483" s="527" t="s">
        <v>1324</v>
      </c>
      <c r="H483" s="527"/>
      <c r="I483" s="527"/>
      <c r="J483" s="527"/>
      <c r="K483" s="224"/>
      <c r="L483" s="224"/>
      <c r="M483" s="531"/>
      <c r="N483" s="531"/>
      <c r="O483" s="531"/>
      <c r="P483" s="531"/>
      <c r="Q483" s="531"/>
      <c r="R483" s="531"/>
      <c r="S483" s="531"/>
      <c r="T483" s="531"/>
      <c r="U483" s="531"/>
      <c r="V483" s="531"/>
      <c r="W483" s="531"/>
      <c r="X483" s="531"/>
      <c r="Y483" s="531"/>
      <c r="Z483" s="531"/>
      <c r="AA483" s="531"/>
    </row>
    <row r="484" spans="1:27" s="1" customFormat="1" ht="13" customHeight="1">
      <c r="A484" s="224"/>
      <c r="B484" s="17"/>
      <c r="C484" s="23" t="s">
        <v>83</v>
      </c>
      <c r="D484" s="21">
        <f>INDEX(Kappe!L32:N32,1,MATCH(Eingabe!$C$4,Kappe!$L$12:$N$12))</f>
        <v>1</v>
      </c>
      <c r="E484" s="19" t="s">
        <v>7</v>
      </c>
      <c r="F484" s="17"/>
      <c r="G484" s="527" t="s">
        <v>1324</v>
      </c>
      <c r="H484" s="527"/>
      <c r="I484" s="527"/>
      <c r="J484" s="527"/>
      <c r="K484" s="224"/>
      <c r="L484" s="224"/>
      <c r="M484" s="531"/>
      <c r="N484" s="531"/>
      <c r="O484" s="531"/>
      <c r="P484" s="531"/>
      <c r="Q484" s="531"/>
      <c r="R484" s="531"/>
      <c r="S484" s="531"/>
      <c r="T484" s="531"/>
      <c r="U484" s="531"/>
      <c r="V484" s="531"/>
      <c r="W484" s="531"/>
      <c r="X484" s="531"/>
      <c r="Y484" s="531"/>
      <c r="Z484" s="531"/>
      <c r="AA484" s="531"/>
    </row>
    <row r="485" spans="1:27" s="1" customFormat="1" ht="13" customHeight="1">
      <c r="A485" s="224"/>
      <c r="B485" s="17"/>
      <c r="C485" s="23" t="s">
        <v>84</v>
      </c>
      <c r="D485" s="21">
        <f>INDEX(Kappe!L33:N33,1,MATCH(Eingabe!$C$4,Kappe!$L$12:$N$12))</f>
        <v>1</v>
      </c>
      <c r="E485" s="19" t="s">
        <v>7</v>
      </c>
      <c r="F485" s="17"/>
      <c r="G485" s="527" t="s">
        <v>1324</v>
      </c>
      <c r="H485" s="527"/>
      <c r="I485" s="527"/>
      <c r="J485" s="527"/>
      <c r="K485" s="224"/>
      <c r="L485" s="224"/>
      <c r="M485" s="531"/>
      <c r="N485" s="531"/>
      <c r="O485" s="531"/>
      <c r="P485" s="531"/>
      <c r="Q485" s="531"/>
      <c r="R485" s="531"/>
      <c r="S485" s="531"/>
      <c r="T485" s="531"/>
      <c r="U485" s="531"/>
      <c r="V485" s="531"/>
      <c r="W485" s="531"/>
      <c r="X485" s="531"/>
      <c r="Y485" s="531"/>
      <c r="Z485" s="531"/>
      <c r="AA485" s="531"/>
    </row>
    <row r="486" spans="1:27" s="650" customFormat="1" ht="13" customHeight="1">
      <c r="A486" s="224"/>
      <c r="B486" s="17"/>
      <c r="C486" s="667" t="s">
        <v>1152</v>
      </c>
      <c r="D486" s="669">
        <f>Eingabe!N3</f>
        <v>1</v>
      </c>
      <c r="E486" s="19" t="s">
        <v>7</v>
      </c>
      <c r="F486" s="217"/>
      <c r="G486" s="527" t="s">
        <v>1151</v>
      </c>
      <c r="H486" s="527"/>
      <c r="I486" s="527"/>
      <c r="J486" s="527"/>
      <c r="K486" s="224"/>
      <c r="L486" s="224"/>
    </row>
    <row r="487" spans="1:27" s="1" customFormat="1" ht="13" customHeight="1">
      <c r="A487" s="224"/>
      <c r="B487" s="17"/>
      <c r="C487" s="527" t="s">
        <v>77</v>
      </c>
      <c r="D487" s="21">
        <f>INDEX(Kappe!L34:N34,1,MATCH(Eingabe!$C$4,Kappe!$L$12:$N$12))</f>
        <v>41.042656765686658</v>
      </c>
      <c r="E487" s="19" t="s">
        <v>2</v>
      </c>
      <c r="F487" s="17"/>
      <c r="G487" s="527" t="s">
        <v>1324</v>
      </c>
      <c r="H487" s="527"/>
      <c r="I487" s="527"/>
      <c r="J487" s="527"/>
      <c r="K487" s="224"/>
      <c r="L487" s="224"/>
      <c r="M487" s="531"/>
      <c r="N487" s="531"/>
      <c r="O487" s="531"/>
      <c r="P487" s="531"/>
      <c r="Q487" s="531"/>
      <c r="R487" s="531"/>
      <c r="S487" s="531"/>
      <c r="T487" s="531"/>
      <c r="U487" s="531"/>
      <c r="V487" s="531"/>
      <c r="W487" s="531"/>
      <c r="X487" s="531"/>
      <c r="Y487" s="531"/>
      <c r="Z487" s="531"/>
      <c r="AA487" s="531"/>
    </row>
    <row r="488" spans="1:27" s="1" customFormat="1" ht="13" customHeight="1">
      <c r="A488" s="224"/>
      <c r="B488" s="17"/>
      <c r="C488" s="17" t="s">
        <v>12</v>
      </c>
      <c r="D488" s="21">
        <f>Kappe!$L$35</f>
        <v>1.2</v>
      </c>
      <c r="E488" s="19" t="s">
        <v>7</v>
      </c>
      <c r="F488" s="17"/>
      <c r="G488" s="527" t="s">
        <v>1324</v>
      </c>
      <c r="H488" s="527"/>
      <c r="I488" s="527"/>
      <c r="J488" s="527"/>
      <c r="K488" s="224"/>
      <c r="L488" s="224"/>
      <c r="M488" s="531"/>
      <c r="N488" s="531"/>
      <c r="O488" s="531"/>
      <c r="P488" s="531"/>
      <c r="Q488" s="531"/>
      <c r="R488" s="531"/>
      <c r="S488" s="531"/>
      <c r="T488" s="531"/>
      <c r="U488" s="531"/>
      <c r="V488" s="531"/>
      <c r="W488" s="531"/>
      <c r="X488" s="531"/>
      <c r="Y488" s="531"/>
      <c r="Z488" s="531"/>
      <c r="AA488" s="531"/>
    </row>
    <row r="489" spans="1:27" s="1" customFormat="1" ht="13" customHeight="1">
      <c r="A489" s="224"/>
      <c r="B489" s="17"/>
      <c r="C489" s="527" t="s">
        <v>71</v>
      </c>
      <c r="D489" s="21">
        <f>INDEX(Kappe!L36:N36,1,MATCH(Eingabe!$C$4,Kappe!$L$12:$N$12))</f>
        <v>34.202213971405548</v>
      </c>
      <c r="E489" s="19" t="s">
        <v>2</v>
      </c>
      <c r="F489" s="17"/>
      <c r="G489" s="527" t="s">
        <v>73</v>
      </c>
      <c r="H489" s="527"/>
      <c r="I489" s="527"/>
      <c r="J489" s="527"/>
      <c r="K489" s="224"/>
      <c r="L489" s="224"/>
      <c r="M489" s="531"/>
      <c r="N489" s="531"/>
      <c r="O489" s="531"/>
      <c r="P489" s="531"/>
      <c r="Q489" s="531"/>
      <c r="R489" s="531"/>
      <c r="S489" s="531"/>
      <c r="T489" s="531"/>
      <c r="U489" s="531"/>
      <c r="V489" s="531"/>
      <c r="W489" s="531"/>
      <c r="X489" s="531"/>
      <c r="Y489" s="531"/>
      <c r="Z489" s="531"/>
      <c r="AA489" s="531"/>
    </row>
    <row r="490" spans="1:27" s="1" customFormat="1" ht="13" customHeight="1">
      <c r="A490" s="224"/>
      <c r="B490" s="17"/>
      <c r="C490" s="527" t="s">
        <v>306</v>
      </c>
      <c r="D490" s="21">
        <f>Kappe!$L$53</f>
        <v>4.7057430951337125</v>
      </c>
      <c r="E490" s="19" t="s">
        <v>2</v>
      </c>
      <c r="F490" s="17"/>
      <c r="G490" s="527" t="s">
        <v>75</v>
      </c>
      <c r="H490" s="527"/>
      <c r="I490" s="527"/>
      <c r="J490" s="527"/>
      <c r="K490" s="224"/>
      <c r="L490" s="224"/>
      <c r="M490" s="531"/>
      <c r="N490" s="531"/>
      <c r="O490" s="531"/>
      <c r="P490" s="531"/>
      <c r="Q490" s="531"/>
      <c r="R490" s="531"/>
      <c r="S490" s="531"/>
      <c r="T490" s="531"/>
      <c r="U490" s="531"/>
      <c r="V490" s="531"/>
      <c r="W490" s="531"/>
      <c r="X490" s="531"/>
      <c r="Y490" s="531"/>
      <c r="Z490" s="531"/>
      <c r="AA490" s="531"/>
    </row>
    <row r="491" spans="1:27" s="1" customFormat="1" ht="13" customHeight="1">
      <c r="A491" s="224"/>
      <c r="B491" s="17"/>
      <c r="C491" s="25" t="s">
        <v>89</v>
      </c>
      <c r="D491" s="26">
        <f>D490/D489</f>
        <v>0.13758592058010941</v>
      </c>
      <c r="E491" s="520" t="s">
        <v>7</v>
      </c>
      <c r="F491" s="27"/>
      <c r="G491" s="24" t="s">
        <v>46</v>
      </c>
      <c r="H491" s="527"/>
      <c r="I491" s="527"/>
      <c r="J491" s="527"/>
      <c r="K491" s="224"/>
      <c r="L491" s="224"/>
      <c r="M491" s="531"/>
      <c r="N491" s="531"/>
      <c r="O491" s="531"/>
      <c r="P491" s="531"/>
      <c r="Q491" s="531"/>
      <c r="R491" s="531"/>
      <c r="S491" s="531"/>
      <c r="T491" s="531"/>
      <c r="U491" s="531"/>
      <c r="V491" s="531"/>
      <c r="W491" s="531"/>
      <c r="X491" s="531"/>
      <c r="Y491" s="531"/>
      <c r="Z491" s="531"/>
      <c r="AA491" s="531"/>
    </row>
    <row r="492" spans="1:27" s="1" customFormat="1" ht="5.5" customHeight="1">
      <c r="A492" s="224"/>
      <c r="B492" s="224"/>
      <c r="C492" s="231"/>
      <c r="D492" s="229"/>
      <c r="E492" s="227"/>
      <c r="F492" s="224"/>
      <c r="G492" s="225"/>
      <c r="H492" s="230"/>
      <c r="I492" s="224"/>
      <c r="J492" s="224"/>
      <c r="K492" s="224"/>
      <c r="L492" s="224"/>
      <c r="M492" s="531"/>
      <c r="N492" s="531"/>
      <c r="O492" s="531"/>
      <c r="P492" s="531"/>
      <c r="Q492" s="531"/>
      <c r="R492" s="531"/>
      <c r="S492" s="531"/>
      <c r="T492" s="531"/>
      <c r="U492" s="531"/>
      <c r="V492" s="531"/>
      <c r="W492" s="531"/>
      <c r="X492" s="531"/>
      <c r="Y492" s="531"/>
      <c r="Z492" s="531"/>
      <c r="AA492" s="531"/>
    </row>
    <row r="493" spans="1:27" s="457" customFormat="1">
      <c r="A493" s="1032" t="s">
        <v>513</v>
      </c>
      <c r="B493" s="1032"/>
      <c r="C493" s="1032"/>
      <c r="D493" s="1032"/>
      <c r="E493" s="1032"/>
      <c r="F493" s="1032"/>
      <c r="G493" s="1032"/>
      <c r="H493" s="1032"/>
      <c r="I493" s="1032"/>
      <c r="J493" s="1032"/>
      <c r="K493" s="520"/>
      <c r="L493" s="519"/>
      <c r="M493" s="531"/>
      <c r="N493" s="531"/>
      <c r="O493" s="531"/>
      <c r="P493" s="531"/>
      <c r="Q493" s="531"/>
      <c r="R493" s="531"/>
      <c r="S493" s="531"/>
      <c r="T493" s="531"/>
      <c r="U493" s="531"/>
      <c r="V493" s="531"/>
      <c r="W493" s="531"/>
      <c r="X493" s="531"/>
      <c r="Y493" s="531"/>
      <c r="Z493" s="531"/>
      <c r="AA493" s="531"/>
    </row>
    <row r="494" spans="1:27" s="457" customFormat="1">
      <c r="A494" s="224"/>
      <c r="B494" s="235" t="s">
        <v>120</v>
      </c>
      <c r="C494" s="23"/>
      <c r="D494" s="18"/>
      <c r="E494" s="19"/>
      <c r="F494" s="17"/>
      <c r="G494" s="527"/>
      <c r="H494" s="20"/>
      <c r="I494" s="17"/>
      <c r="J494" s="17"/>
      <c r="K494" s="17"/>
      <c r="L494" s="519"/>
      <c r="M494" s="531"/>
      <c r="N494" s="531"/>
      <c r="O494" s="531"/>
      <c r="P494" s="531"/>
      <c r="Q494" s="531"/>
      <c r="R494" s="531"/>
      <c r="S494" s="531"/>
      <c r="T494" s="531"/>
      <c r="U494" s="531"/>
      <c r="V494" s="531"/>
      <c r="W494" s="531"/>
      <c r="X494" s="531"/>
      <c r="Y494" s="531"/>
      <c r="Z494" s="531"/>
      <c r="AA494" s="531"/>
    </row>
    <row r="495" spans="1:27" s="457" customFormat="1" ht="13" customHeight="1">
      <c r="A495" s="224"/>
      <c r="B495" s="17"/>
      <c r="C495" s="527" t="s">
        <v>118</v>
      </c>
      <c r="D495" s="21">
        <f>INDEX(Kappe!L58:N58,1,MATCH(Eingabe!$C$4,Kappe!$L$12:$N$12))</f>
        <v>757.99758981340312</v>
      </c>
      <c r="E495" s="19" t="s">
        <v>119</v>
      </c>
      <c r="F495" s="17"/>
      <c r="G495" s="527" t="s">
        <v>362</v>
      </c>
      <c r="H495" s="20"/>
      <c r="I495" s="17"/>
      <c r="J495" s="17"/>
      <c r="K495" s="17"/>
      <c r="L495" s="519"/>
      <c r="M495" s="531"/>
      <c r="N495" s="531"/>
      <c r="O495" s="531"/>
      <c r="P495" s="531"/>
      <c r="Q495" s="531"/>
      <c r="R495" s="531"/>
      <c r="S495" s="531"/>
      <c r="T495" s="531"/>
      <c r="U495" s="531"/>
      <c r="V495" s="531"/>
      <c r="W495" s="531"/>
      <c r="X495" s="531"/>
      <c r="Y495" s="531"/>
      <c r="Z495" s="531"/>
      <c r="AA495" s="531"/>
    </row>
    <row r="496" spans="1:27" s="457" customFormat="1" ht="13" customHeight="1">
      <c r="A496" s="224"/>
      <c r="B496" s="17"/>
      <c r="C496" s="17" t="s">
        <v>3</v>
      </c>
      <c r="D496" s="21">
        <f>Kappe!$L$59</f>
        <v>1.56</v>
      </c>
      <c r="E496" s="19" t="s">
        <v>7</v>
      </c>
      <c r="F496" s="17"/>
      <c r="G496" s="527" t="s">
        <v>359</v>
      </c>
      <c r="H496" s="20"/>
      <c r="I496" s="17"/>
      <c r="J496" s="17"/>
      <c r="K496" s="17"/>
      <c r="L496" s="519"/>
      <c r="M496" s="531"/>
      <c r="N496" s="531"/>
      <c r="O496" s="531"/>
      <c r="P496" s="531"/>
      <c r="Q496" s="531"/>
      <c r="R496" s="531"/>
      <c r="S496" s="531"/>
      <c r="T496" s="531"/>
      <c r="U496" s="531"/>
      <c r="V496" s="531"/>
      <c r="W496" s="531"/>
      <c r="X496" s="531"/>
      <c r="Y496" s="531"/>
      <c r="Z496" s="531"/>
      <c r="AA496" s="531"/>
    </row>
    <row r="497" spans="1:27" s="457" customFormat="1" ht="13" customHeight="1">
      <c r="A497" s="224"/>
      <c r="B497" s="17"/>
      <c r="C497" s="527" t="s">
        <v>65</v>
      </c>
      <c r="D497" s="21">
        <f>INDEX(Kappe!L60:N60,1,MATCH(Eingabe!$C$4,Kappe!$L$12:$N$12))</f>
        <v>30.368493181626725</v>
      </c>
      <c r="E497" s="19" t="s">
        <v>2</v>
      </c>
      <c r="F497" s="17"/>
      <c r="G497" s="527" t="s">
        <v>73</v>
      </c>
      <c r="H497" s="20"/>
      <c r="I497" s="17"/>
      <c r="J497" s="17"/>
      <c r="K497" s="17"/>
      <c r="L497" s="519"/>
      <c r="M497" s="531"/>
      <c r="N497" s="531"/>
      <c r="O497" s="531"/>
      <c r="P497" s="531"/>
      <c r="Q497" s="531"/>
      <c r="R497" s="531"/>
      <c r="S497" s="531"/>
      <c r="T497" s="531"/>
      <c r="U497" s="531"/>
      <c r="V497" s="531"/>
      <c r="W497" s="531"/>
      <c r="X497" s="531"/>
      <c r="Y497" s="531"/>
      <c r="Z497" s="531"/>
      <c r="AA497" s="531"/>
    </row>
    <row r="498" spans="1:27" s="457" customFormat="1" ht="13" customHeight="1">
      <c r="A498" s="224"/>
      <c r="B498" s="17"/>
      <c r="C498" s="527" t="s">
        <v>307</v>
      </c>
      <c r="D498" s="21">
        <f>Kappe!$L$61</f>
        <v>29.921271248249965</v>
      </c>
      <c r="E498" s="19" t="s">
        <v>2</v>
      </c>
      <c r="F498" s="17"/>
      <c r="G498" s="527" t="s">
        <v>75</v>
      </c>
      <c r="H498" s="20"/>
      <c r="I498" s="17"/>
      <c r="J498" s="17"/>
      <c r="K498" s="17"/>
      <c r="L498" s="519"/>
      <c r="M498" s="531"/>
      <c r="N498" s="531"/>
      <c r="O498" s="531"/>
      <c r="P498" s="531"/>
      <c r="Q498" s="531"/>
      <c r="R498" s="531"/>
      <c r="S498" s="531"/>
      <c r="T498" s="531"/>
      <c r="U498" s="531"/>
      <c r="V498" s="531"/>
      <c r="W498" s="531"/>
      <c r="X498" s="531"/>
      <c r="Y498" s="531"/>
      <c r="Z498" s="531"/>
      <c r="AA498" s="531"/>
    </row>
    <row r="499" spans="1:27" s="457" customFormat="1" ht="13" customHeight="1">
      <c r="A499" s="224"/>
      <c r="B499" s="17"/>
      <c r="C499" s="25" t="s">
        <v>90</v>
      </c>
      <c r="D499" s="26">
        <f>D498/D497</f>
        <v>0.98527348951092064</v>
      </c>
      <c r="E499" s="520" t="s">
        <v>7</v>
      </c>
      <c r="F499" s="27"/>
      <c r="G499" s="24" t="s">
        <v>46</v>
      </c>
      <c r="H499" s="20"/>
      <c r="I499" s="17"/>
      <c r="J499" s="17"/>
      <c r="K499" s="17"/>
      <c r="L499" s="519"/>
      <c r="M499" s="531"/>
      <c r="N499" s="531"/>
      <c r="O499" s="531"/>
      <c r="P499" s="531"/>
      <c r="Q499" s="531"/>
      <c r="R499" s="531"/>
      <c r="S499" s="531"/>
      <c r="T499" s="531"/>
      <c r="U499" s="531"/>
      <c r="V499" s="531"/>
      <c r="W499" s="531"/>
      <c r="X499" s="531"/>
      <c r="Y499" s="531"/>
      <c r="Z499" s="531"/>
      <c r="AA499" s="531"/>
    </row>
    <row r="500" spans="1:27" s="457" customFormat="1">
      <c r="A500" s="224"/>
      <c r="B500" s="17"/>
      <c r="C500" s="23"/>
      <c r="D500" s="18"/>
      <c r="E500" s="19"/>
      <c r="F500" s="17"/>
      <c r="G500" s="527"/>
      <c r="H500" s="20"/>
      <c r="I500" s="17"/>
      <c r="J500" s="17"/>
      <c r="K500" s="17"/>
      <c r="L500" s="519"/>
      <c r="M500" s="531"/>
      <c r="N500" s="531"/>
      <c r="O500" s="531"/>
      <c r="P500" s="531"/>
      <c r="Q500" s="531"/>
      <c r="R500" s="531"/>
      <c r="S500" s="531"/>
      <c r="T500" s="531"/>
      <c r="U500" s="531"/>
      <c r="V500" s="531"/>
      <c r="W500" s="531"/>
      <c r="X500" s="531"/>
      <c r="Y500" s="531"/>
      <c r="Z500" s="531"/>
      <c r="AA500" s="531"/>
    </row>
    <row r="501" spans="1:27" s="457" customFormat="1">
      <c r="A501" s="224"/>
      <c r="B501" s="238" t="s">
        <v>9</v>
      </c>
      <c r="C501" s="23"/>
      <c r="D501" s="18"/>
      <c r="E501" s="19"/>
      <c r="F501" s="17"/>
      <c r="G501" s="527"/>
      <c r="H501" s="20"/>
      <c r="I501" s="17"/>
      <c r="J501" s="17"/>
      <c r="K501" s="17"/>
      <c r="L501" s="519"/>
      <c r="M501" s="531"/>
      <c r="N501" s="531"/>
      <c r="O501" s="531"/>
      <c r="P501" s="531"/>
      <c r="Q501" s="531"/>
      <c r="R501" s="531"/>
      <c r="S501" s="531"/>
      <c r="T501" s="531"/>
      <c r="U501" s="531"/>
      <c r="V501" s="531"/>
      <c r="W501" s="531"/>
      <c r="X501" s="531"/>
      <c r="Y501" s="531"/>
      <c r="Z501" s="531"/>
      <c r="AA501" s="531"/>
    </row>
    <row r="502" spans="1:27" s="457" customFormat="1" ht="13" customHeight="1">
      <c r="A502" s="224"/>
      <c r="B502" s="17"/>
      <c r="C502" s="4" t="s">
        <v>10</v>
      </c>
      <c r="D502" s="18">
        <f>Kappe!$L$64</f>
        <v>2</v>
      </c>
      <c r="E502" s="19" t="s">
        <v>7</v>
      </c>
      <c r="F502" s="17"/>
      <c r="G502" s="527" t="s">
        <v>1324</v>
      </c>
      <c r="H502" s="20"/>
      <c r="I502" s="17"/>
      <c r="J502" s="17"/>
      <c r="K502" s="17"/>
      <c r="L502" s="519"/>
      <c r="M502" s="531"/>
      <c r="N502" s="531"/>
      <c r="O502" s="531"/>
      <c r="P502" s="531"/>
      <c r="Q502" s="531"/>
      <c r="R502" s="531"/>
      <c r="S502" s="531"/>
      <c r="T502" s="531"/>
      <c r="U502" s="531"/>
      <c r="V502" s="531"/>
      <c r="W502" s="531"/>
      <c r="X502" s="531"/>
      <c r="Y502" s="531"/>
      <c r="Z502" s="531"/>
      <c r="AA502" s="531"/>
    </row>
    <row r="503" spans="1:27" s="457" customFormat="1" ht="13" customHeight="1">
      <c r="A503" s="224"/>
      <c r="B503" s="17"/>
      <c r="C503" s="527" t="s">
        <v>18</v>
      </c>
      <c r="D503" s="21">
        <f>INDEX(Kappe!L65:N65,1,MATCH(Eingabe!$C$4,Kappe!$L$12:$N$12))</f>
        <v>82.085313531373316</v>
      </c>
      <c r="E503" s="237" t="s">
        <v>2</v>
      </c>
      <c r="F503" s="17"/>
      <c r="G503" s="527" t="s">
        <v>1324</v>
      </c>
      <c r="H503" s="20"/>
      <c r="I503" s="17"/>
      <c r="J503" s="17"/>
      <c r="K503" s="17"/>
      <c r="L503" s="519"/>
      <c r="M503" s="531"/>
      <c r="N503" s="531"/>
      <c r="O503" s="531"/>
      <c r="P503" s="531"/>
      <c r="Q503" s="531"/>
      <c r="R503" s="531"/>
      <c r="S503" s="531"/>
      <c r="T503" s="531"/>
      <c r="U503" s="531"/>
      <c r="V503" s="531"/>
      <c r="W503" s="531"/>
      <c r="X503" s="531"/>
      <c r="Y503" s="531"/>
      <c r="Z503" s="531"/>
      <c r="AA503" s="531"/>
    </row>
    <row r="504" spans="1:27" s="457" customFormat="1" ht="13" customHeight="1">
      <c r="A504" s="224"/>
      <c r="B504" s="17"/>
      <c r="C504" s="17" t="s">
        <v>12</v>
      </c>
      <c r="D504" s="21">
        <f>Kappe!$L$66</f>
        <v>1.2</v>
      </c>
      <c r="E504" s="19" t="s">
        <v>7</v>
      </c>
      <c r="F504" s="17"/>
      <c r="G504" s="527" t="s">
        <v>1324</v>
      </c>
      <c r="H504" s="20"/>
      <c r="I504" s="17"/>
      <c r="J504" s="17"/>
      <c r="K504" s="17"/>
      <c r="L504" s="519"/>
      <c r="M504" s="531"/>
      <c r="N504" s="531"/>
      <c r="O504" s="531"/>
      <c r="P504" s="531"/>
      <c r="Q504" s="531"/>
      <c r="R504" s="531"/>
      <c r="S504" s="531"/>
      <c r="T504" s="531"/>
      <c r="U504" s="531"/>
      <c r="V504" s="531"/>
      <c r="W504" s="531"/>
      <c r="X504" s="531"/>
      <c r="Y504" s="531"/>
      <c r="Z504" s="531"/>
      <c r="AA504" s="531"/>
    </row>
    <row r="505" spans="1:27" s="457" customFormat="1" ht="13" customHeight="1">
      <c r="A505" s="224"/>
      <c r="B505" s="17"/>
      <c r="C505" s="17" t="s">
        <v>72</v>
      </c>
      <c r="D505" s="21">
        <f>INDEX(Kappe!L67:N67,1,MATCH(Eingabe!$C$4,Kappe!$L$12:$N$12))</f>
        <v>68.404427942811097</v>
      </c>
      <c r="E505" s="19" t="s">
        <v>2</v>
      </c>
      <c r="F505" s="17"/>
      <c r="G505" s="527" t="s">
        <v>73</v>
      </c>
      <c r="H505" s="20"/>
      <c r="I505" s="17"/>
      <c r="J505" s="17"/>
      <c r="K505" s="17"/>
      <c r="L505" s="519"/>
      <c r="M505" s="531"/>
      <c r="N505" s="531"/>
      <c r="O505" s="531"/>
      <c r="P505" s="531"/>
      <c r="Q505" s="531"/>
      <c r="R505" s="531"/>
      <c r="S505" s="531"/>
      <c r="T505" s="531"/>
      <c r="U505" s="531"/>
      <c r="V505" s="531"/>
      <c r="W505" s="531"/>
      <c r="X505" s="531"/>
      <c r="Y505" s="531"/>
      <c r="Z505" s="531"/>
      <c r="AA505" s="531"/>
    </row>
    <row r="506" spans="1:27" s="457" customFormat="1" ht="13" customHeight="1">
      <c r="A506" s="224"/>
      <c r="B506" s="17"/>
      <c r="C506" s="527" t="s">
        <v>307</v>
      </c>
      <c r="D506" s="21">
        <f>Kappe!$L$61</f>
        <v>29.921271248249965</v>
      </c>
      <c r="E506" s="19" t="s">
        <v>2</v>
      </c>
      <c r="F506" s="17"/>
      <c r="G506" s="527" t="s">
        <v>75</v>
      </c>
      <c r="H506" s="20"/>
      <c r="I506" s="17"/>
      <c r="J506" s="17"/>
      <c r="K506" s="17"/>
      <c r="L506" s="519"/>
      <c r="M506" s="531"/>
      <c r="N506" s="531"/>
      <c r="O506" s="531"/>
      <c r="P506" s="531"/>
      <c r="Q506" s="531"/>
      <c r="R506" s="531"/>
      <c r="S506" s="531"/>
      <c r="T506" s="531"/>
      <c r="U506" s="531"/>
      <c r="V506" s="531"/>
      <c r="W506" s="531"/>
      <c r="X506" s="531"/>
      <c r="Y506" s="531"/>
      <c r="Z506" s="531"/>
      <c r="AA506" s="531"/>
    </row>
    <row r="507" spans="1:27" s="457" customFormat="1" ht="13" customHeight="1">
      <c r="A507" s="224"/>
      <c r="B507" s="17"/>
      <c r="C507" s="25" t="s">
        <v>91</v>
      </c>
      <c r="D507" s="26">
        <f>D506/D505</f>
        <v>0.43741716944501569</v>
      </c>
      <c r="E507" s="520" t="s">
        <v>7</v>
      </c>
      <c r="F507" s="27"/>
      <c r="G507" s="24" t="s">
        <v>46</v>
      </c>
      <c r="H507" s="20"/>
      <c r="I507" s="17"/>
      <c r="J507" s="17"/>
      <c r="K507" s="17"/>
      <c r="L507" s="519"/>
      <c r="M507" s="531"/>
      <c r="N507" s="531"/>
      <c r="O507" s="531"/>
      <c r="P507" s="531"/>
      <c r="Q507" s="531"/>
      <c r="R507" s="531"/>
      <c r="S507" s="531"/>
      <c r="T507" s="531"/>
      <c r="U507" s="531"/>
      <c r="V507" s="531"/>
      <c r="W507" s="531"/>
      <c r="X507" s="531"/>
      <c r="Y507" s="531"/>
      <c r="Z507" s="531"/>
      <c r="AA507" s="531"/>
    </row>
    <row r="508" spans="1:27" s="457" customFormat="1" ht="5.5" customHeight="1">
      <c r="A508" s="224"/>
      <c r="B508" s="17"/>
      <c r="C508" s="23"/>
      <c r="D508" s="18"/>
      <c r="E508" s="19"/>
      <c r="F508" s="17"/>
      <c r="G508" s="527"/>
      <c r="H508" s="20"/>
      <c r="I508" s="17"/>
      <c r="J508" s="17"/>
      <c r="K508" s="17"/>
      <c r="L508" s="519"/>
      <c r="M508" s="531"/>
      <c r="N508" s="531"/>
      <c r="O508" s="531"/>
      <c r="P508" s="531"/>
      <c r="Q508" s="531"/>
      <c r="R508" s="531"/>
      <c r="S508" s="531"/>
      <c r="T508" s="531"/>
      <c r="U508" s="531"/>
      <c r="V508" s="531"/>
      <c r="W508" s="531"/>
      <c r="X508" s="531"/>
      <c r="Y508" s="531"/>
      <c r="Z508" s="531"/>
      <c r="AA508" s="531"/>
    </row>
    <row r="509" spans="1:27" s="457" customFormat="1">
      <c r="A509" s="1034" t="s">
        <v>521</v>
      </c>
      <c r="B509" s="1034"/>
      <c r="C509" s="1034"/>
      <c r="D509" s="1034"/>
      <c r="E509" s="1034"/>
      <c r="F509" s="1034"/>
      <c r="G509" s="1034"/>
      <c r="H509" s="1034"/>
      <c r="I509" s="1034"/>
      <c r="J509" s="1034"/>
      <c r="K509" s="17"/>
      <c r="L509" s="519"/>
      <c r="M509" s="531"/>
      <c r="N509" s="531"/>
      <c r="O509" s="531"/>
      <c r="P509" s="531"/>
      <c r="Q509" s="531"/>
      <c r="R509" s="531"/>
      <c r="S509" s="531"/>
      <c r="T509" s="531"/>
      <c r="U509" s="531"/>
      <c r="V509" s="531"/>
      <c r="W509" s="531"/>
      <c r="X509" s="531"/>
      <c r="Y509" s="531"/>
      <c r="Z509" s="531"/>
      <c r="AA509" s="531"/>
    </row>
    <row r="510" spans="1:27" s="457" customFormat="1" ht="5.5" customHeight="1">
      <c r="A510" s="224"/>
      <c r="B510" s="17"/>
      <c r="C510" s="23"/>
      <c r="D510" s="18"/>
      <c r="E510" s="19"/>
      <c r="F510" s="17"/>
      <c r="G510" s="527"/>
      <c r="H510" s="20"/>
      <c r="I510" s="17"/>
      <c r="J510" s="17"/>
      <c r="K510" s="17"/>
      <c r="L510" s="519"/>
      <c r="M510" s="531"/>
      <c r="N510" s="531"/>
      <c r="O510" s="531"/>
      <c r="P510" s="531"/>
      <c r="Q510" s="531"/>
      <c r="R510" s="531"/>
      <c r="S510" s="531"/>
      <c r="T510" s="531"/>
      <c r="U510" s="531"/>
      <c r="V510" s="531"/>
      <c r="W510" s="531"/>
      <c r="X510" s="531"/>
      <c r="Y510" s="531"/>
      <c r="Z510" s="531"/>
      <c r="AA510" s="531"/>
    </row>
    <row r="511" spans="1:27" s="457" customFormat="1" ht="13" customHeight="1">
      <c r="A511" s="224"/>
      <c r="B511" s="17"/>
      <c r="C511" s="23" t="s">
        <v>85</v>
      </c>
      <c r="D511" s="21">
        <f>INDEX(Kappe!L89:N89,1,MATCH(Eingabe!$C$4,Kappe!$L$12:$N$12))</f>
        <v>0.13758592058010941</v>
      </c>
      <c r="E511" s="19" t="s">
        <v>7</v>
      </c>
      <c r="F511" s="17"/>
      <c r="G511" s="527" t="s">
        <v>515</v>
      </c>
      <c r="H511" s="20"/>
      <c r="I511" s="17"/>
      <c r="J511" s="17"/>
      <c r="K511" s="17"/>
      <c r="L511" s="519"/>
      <c r="M511" s="531"/>
      <c r="N511" s="531"/>
      <c r="O511" s="531"/>
      <c r="P511" s="531"/>
      <c r="Q511" s="531"/>
      <c r="R511" s="531"/>
      <c r="S511" s="531"/>
      <c r="T511" s="531"/>
      <c r="U511" s="531"/>
      <c r="V511" s="531"/>
      <c r="W511" s="531"/>
      <c r="X511" s="531"/>
      <c r="Y511" s="531"/>
      <c r="Z511" s="531"/>
      <c r="AA511" s="531"/>
    </row>
    <row r="512" spans="1:27" s="457" customFormat="1" ht="13" customHeight="1">
      <c r="A512" s="224"/>
      <c r="B512" s="17"/>
      <c r="C512" s="23" t="s">
        <v>87</v>
      </c>
      <c r="D512" s="21">
        <f>INDEX(Kappe!L90:N90,1,MATCH(Eingabe!$C$4,Kappe!$L$12:$N$12))</f>
        <v>0.98527348951092064</v>
      </c>
      <c r="E512" s="19" t="s">
        <v>7</v>
      </c>
      <c r="F512" s="17"/>
      <c r="G512" s="527" t="s">
        <v>519</v>
      </c>
      <c r="H512" s="20"/>
      <c r="I512" s="17"/>
      <c r="J512" s="17"/>
      <c r="K512" s="17"/>
      <c r="L512" s="519"/>
      <c r="M512" s="531"/>
      <c r="N512" s="531"/>
      <c r="O512" s="531"/>
      <c r="P512" s="531"/>
      <c r="Q512" s="531"/>
      <c r="R512" s="531"/>
      <c r="S512" s="531"/>
      <c r="T512" s="531"/>
      <c r="U512" s="531"/>
      <c r="V512" s="531"/>
      <c r="W512" s="531"/>
      <c r="X512" s="531"/>
      <c r="Y512" s="531"/>
      <c r="Z512" s="531"/>
      <c r="AA512" s="531"/>
    </row>
    <row r="513" spans="1:27" s="457" customFormat="1" ht="1.75" customHeight="1">
      <c r="A513" s="224"/>
      <c r="B513" s="17"/>
      <c r="C513" s="23"/>
      <c r="D513" s="21"/>
      <c r="E513" s="19"/>
      <c r="F513" s="17"/>
      <c r="G513" s="527"/>
      <c r="H513" s="20"/>
      <c r="I513" s="17"/>
      <c r="J513" s="17"/>
      <c r="K513" s="17"/>
      <c r="L513" s="519"/>
      <c r="M513" s="531"/>
      <c r="N513" s="531"/>
      <c r="O513" s="531"/>
      <c r="P513" s="531"/>
      <c r="Q513" s="531"/>
      <c r="R513" s="531"/>
      <c r="S513" s="531"/>
      <c r="T513" s="531"/>
      <c r="U513" s="531"/>
      <c r="V513" s="531"/>
      <c r="W513" s="531"/>
      <c r="X513" s="531"/>
      <c r="Y513" s="531"/>
      <c r="Z513" s="531"/>
      <c r="AA513" s="531"/>
    </row>
    <row r="514" spans="1:27" s="457" customFormat="1" ht="13" customHeight="1">
      <c r="A514" s="224"/>
      <c r="B514" s="17"/>
      <c r="C514" s="25" t="s">
        <v>549</v>
      </c>
      <c r="D514" s="26">
        <f>INDEX(Kappe!L92:N92,1,MATCH(Eingabe!$C$4,Kappe!$L$12:$N$12))</f>
        <v>0.93571617507585847</v>
      </c>
      <c r="E514" s="520" t="s">
        <v>7</v>
      </c>
      <c r="F514" s="27"/>
      <c r="G514" s="24" t="s">
        <v>1324</v>
      </c>
      <c r="H514" s="20"/>
      <c r="I514" s="17"/>
      <c r="J514" s="17"/>
      <c r="K514" s="17"/>
      <c r="L514" s="519"/>
      <c r="M514" s="531"/>
      <c r="N514" s="531"/>
      <c r="O514" s="531"/>
      <c r="P514" s="531"/>
      <c r="Q514" s="531"/>
      <c r="R514" s="531"/>
      <c r="S514" s="531"/>
      <c r="T514" s="531"/>
      <c r="U514" s="531"/>
      <c r="V514" s="531"/>
      <c r="W514" s="531"/>
      <c r="X514" s="531"/>
      <c r="Y514" s="531"/>
      <c r="Z514" s="531"/>
      <c r="AA514" s="531"/>
    </row>
    <row r="515" spans="1:27" s="1" customFormat="1" ht="5.5" customHeight="1">
      <c r="A515" s="224"/>
      <c r="B515" s="17"/>
      <c r="C515" s="23"/>
      <c r="D515" s="21"/>
      <c r="E515" s="19"/>
      <c r="F515" s="17"/>
      <c r="G515" s="17"/>
      <c r="H515" s="20"/>
      <c r="I515" s="17"/>
      <c r="J515" s="17"/>
      <c r="K515" s="17"/>
      <c r="L515" s="17"/>
      <c r="M515" s="531"/>
      <c r="N515" s="531"/>
      <c r="O515" s="531"/>
      <c r="P515" s="531"/>
      <c r="Q515" s="531"/>
      <c r="R515" s="531"/>
      <c r="S515" s="531"/>
      <c r="T515" s="531"/>
      <c r="U515" s="531"/>
      <c r="V515" s="531"/>
      <c r="W515" s="531"/>
      <c r="X515" s="531"/>
      <c r="Y515" s="531"/>
      <c r="Z515" s="531"/>
      <c r="AA515" s="531"/>
    </row>
    <row r="516" spans="1:27" s="1" customFormat="1">
      <c r="A516" s="1033" t="s">
        <v>1159</v>
      </c>
      <c r="B516" s="1033"/>
      <c r="C516" s="1033"/>
      <c r="D516" s="1033"/>
      <c r="E516" s="1033"/>
      <c r="F516" s="1033"/>
      <c r="G516" s="1033"/>
      <c r="H516" s="1033"/>
      <c r="I516" s="1033"/>
      <c r="J516" s="1033"/>
      <c r="K516" s="502"/>
      <c r="L516" s="17"/>
      <c r="M516" s="531"/>
      <c r="N516" s="531"/>
      <c r="O516" s="531"/>
      <c r="P516" s="531"/>
      <c r="Q516" s="531"/>
      <c r="R516" s="531"/>
      <c r="S516" s="531"/>
      <c r="T516" s="531"/>
      <c r="U516" s="531"/>
      <c r="V516" s="531"/>
      <c r="W516" s="531"/>
      <c r="X516" s="531"/>
      <c r="Y516" s="531"/>
      <c r="Z516" s="531"/>
      <c r="AA516" s="531"/>
    </row>
    <row r="517" spans="1:27" s="1" customFormat="1" ht="5.5" customHeight="1">
      <c r="A517" s="228"/>
      <c r="B517" s="242"/>
      <c r="C517" s="242"/>
      <c r="D517" s="242"/>
      <c r="E517" s="242"/>
      <c r="F517" s="242"/>
      <c r="G517" s="242"/>
      <c r="H517" s="242"/>
      <c r="I517" s="242"/>
      <c r="J517" s="242"/>
      <c r="K517" s="228"/>
      <c r="L517" s="224"/>
      <c r="M517" s="531"/>
      <c r="N517" s="531"/>
      <c r="O517" s="531"/>
      <c r="P517" s="531"/>
      <c r="Q517" s="531"/>
      <c r="R517" s="531"/>
      <c r="S517" s="531"/>
      <c r="T517" s="531"/>
      <c r="U517" s="531"/>
      <c r="V517" s="531"/>
      <c r="W517" s="531"/>
      <c r="X517" s="531"/>
      <c r="Y517" s="531"/>
      <c r="Z517" s="531"/>
      <c r="AA517" s="531"/>
    </row>
    <row r="518" spans="1:27" s="1" customFormat="1">
      <c r="A518" s="1032" t="s">
        <v>514</v>
      </c>
      <c r="B518" s="1032"/>
      <c r="C518" s="1032"/>
      <c r="D518" s="1032"/>
      <c r="E518" s="1032"/>
      <c r="F518" s="1032"/>
      <c r="G518" s="1032"/>
      <c r="H518" s="1032"/>
      <c r="I518" s="1032"/>
      <c r="J518" s="1032"/>
      <c r="K518" s="520"/>
      <c r="L518" s="224"/>
      <c r="M518" s="531"/>
      <c r="N518" s="531"/>
      <c r="O518" s="531"/>
      <c r="P518" s="531"/>
      <c r="Q518" s="531"/>
      <c r="R518" s="531"/>
      <c r="S518" s="531"/>
      <c r="T518" s="531"/>
      <c r="U518" s="531"/>
      <c r="V518" s="531"/>
      <c r="W518" s="531"/>
      <c r="X518" s="531"/>
      <c r="Y518" s="531"/>
      <c r="Z518" s="531"/>
      <c r="AA518" s="531"/>
    </row>
    <row r="519" spans="1:27" s="1" customFormat="1">
      <c r="A519" s="17"/>
      <c r="B519" s="14" t="s">
        <v>1</v>
      </c>
      <c r="C519" s="232"/>
      <c r="D519" s="232"/>
      <c r="E519" s="232"/>
      <c r="F519" s="17"/>
      <c r="G519" s="527"/>
      <c r="H519" s="527"/>
      <c r="I519" s="527"/>
      <c r="J519" s="527"/>
      <c r="K519" s="17"/>
      <c r="L519" s="224"/>
      <c r="M519" s="531"/>
      <c r="N519" s="531"/>
      <c r="O519" s="531"/>
      <c r="P519" s="531"/>
      <c r="Q519" s="531"/>
      <c r="R519" s="531"/>
      <c r="S519" s="531"/>
      <c r="T519" s="531"/>
      <c r="U519" s="531"/>
      <c r="V519" s="531"/>
      <c r="W519" s="531"/>
      <c r="X519" s="531"/>
      <c r="Y519" s="531"/>
      <c r="Z519" s="531"/>
      <c r="AA519" s="531"/>
    </row>
    <row r="520" spans="1:27" s="1" customFormat="1" ht="13" customHeight="1">
      <c r="A520" s="17"/>
      <c r="B520" s="17"/>
      <c r="C520" s="527" t="s">
        <v>4</v>
      </c>
      <c r="D520" s="21">
        <f>INDEX(Tragwerk!R23:T23,1,MATCH(Eingabe!$C$4,Tragwerk!$R$14:$T$14))</f>
        <v>247</v>
      </c>
      <c r="E520" s="19" t="s">
        <v>2</v>
      </c>
      <c r="F520" s="17"/>
      <c r="G520" s="527" t="s">
        <v>361</v>
      </c>
      <c r="H520" s="527"/>
      <c r="I520" s="527"/>
      <c r="J520" s="527"/>
      <c r="K520" s="17"/>
      <c r="L520" s="224"/>
      <c r="M520" s="531"/>
      <c r="N520" s="531"/>
      <c r="O520" s="531"/>
      <c r="P520" s="531"/>
      <c r="Q520" s="531"/>
      <c r="R520" s="531"/>
      <c r="S520" s="531"/>
      <c r="T520" s="531"/>
      <c r="U520" s="531"/>
      <c r="V520" s="531"/>
      <c r="W520" s="531"/>
      <c r="X520" s="531"/>
      <c r="Y520" s="531"/>
      <c r="Z520" s="531"/>
      <c r="AA520" s="531"/>
    </row>
    <row r="521" spans="1:27" s="1" customFormat="1" ht="13" customHeight="1">
      <c r="A521" s="17"/>
      <c r="B521" s="17"/>
      <c r="C521" s="17" t="s">
        <v>3</v>
      </c>
      <c r="D521" s="21">
        <f>Tragwerk!$R$24</f>
        <v>1.87</v>
      </c>
      <c r="E521" s="19" t="s">
        <v>7</v>
      </c>
      <c r="F521" s="17"/>
      <c r="G521" s="527" t="s">
        <v>359</v>
      </c>
      <c r="H521" s="527"/>
      <c r="I521" s="527"/>
      <c r="J521" s="527"/>
      <c r="K521" s="17"/>
      <c r="L521" s="224"/>
      <c r="M521" s="531"/>
      <c r="N521" s="531"/>
      <c r="O521" s="531"/>
      <c r="P521" s="531"/>
      <c r="Q521" s="531"/>
      <c r="R521" s="531"/>
      <c r="S521" s="531"/>
      <c r="T521" s="531"/>
      <c r="U521" s="531"/>
      <c r="V521" s="531"/>
      <c r="W521" s="531"/>
      <c r="X521" s="531"/>
      <c r="Y521" s="531"/>
      <c r="Z521" s="531"/>
      <c r="AA521" s="531"/>
    </row>
    <row r="522" spans="1:27" s="1" customFormat="1" ht="13" customHeight="1">
      <c r="A522" s="17"/>
      <c r="B522" s="17"/>
      <c r="C522" s="527" t="s">
        <v>64</v>
      </c>
      <c r="D522" s="21">
        <f>INDEX(Tragwerk!R25:T25,1,MATCH(Eingabe!$C$4,Tragwerk!$R$14:$T$14))</f>
        <v>132.08556149732618</v>
      </c>
      <c r="E522" s="19" t="s">
        <v>2</v>
      </c>
      <c r="F522" s="17"/>
      <c r="G522" s="527" t="s">
        <v>73</v>
      </c>
      <c r="H522" s="527"/>
      <c r="I522" s="527"/>
      <c r="J522" s="527"/>
      <c r="K522" s="17"/>
      <c r="L522" s="224"/>
      <c r="M522" s="531"/>
      <c r="N522" s="531"/>
      <c r="O522" s="531"/>
      <c r="P522" s="531"/>
      <c r="Q522" s="531"/>
      <c r="R522" s="531"/>
      <c r="S522" s="531"/>
      <c r="T522" s="531"/>
      <c r="U522" s="531"/>
      <c r="V522" s="531"/>
      <c r="W522" s="531"/>
      <c r="X522" s="531"/>
      <c r="Y522" s="531"/>
      <c r="Z522" s="531"/>
      <c r="AA522" s="531"/>
    </row>
    <row r="523" spans="1:27" s="1" customFormat="1" ht="13" customHeight="1">
      <c r="A523" s="17"/>
      <c r="B523" s="17"/>
      <c r="C523" s="527" t="s">
        <v>306</v>
      </c>
      <c r="D523" s="21">
        <f>Tragwerk!$R$60</f>
        <v>3.6775975449364311</v>
      </c>
      <c r="E523" s="19" t="s">
        <v>2</v>
      </c>
      <c r="F523" s="17"/>
      <c r="G523" s="527" t="s">
        <v>75</v>
      </c>
      <c r="H523" s="527"/>
      <c r="I523" s="527"/>
      <c r="J523" s="527"/>
      <c r="K523" s="17"/>
      <c r="L523" s="224"/>
      <c r="M523" s="531"/>
      <c r="N523" s="531"/>
      <c r="O523" s="531"/>
      <c r="P523" s="531"/>
      <c r="Q523" s="531"/>
      <c r="R523" s="531"/>
      <c r="S523" s="531"/>
      <c r="T523" s="531"/>
      <c r="U523" s="531"/>
      <c r="V523" s="531"/>
      <c r="W523" s="531"/>
      <c r="X523" s="531"/>
      <c r="Y523" s="531"/>
      <c r="Z523" s="531"/>
      <c r="AA523" s="531"/>
    </row>
    <row r="524" spans="1:27" s="1" customFormat="1" ht="13" customHeight="1">
      <c r="A524" s="17"/>
      <c r="B524" s="17"/>
      <c r="C524" s="25" t="s">
        <v>88</v>
      </c>
      <c r="D524" s="26">
        <f>D523/D522</f>
        <v>2.7842540117534929E-2</v>
      </c>
      <c r="E524" s="520" t="s">
        <v>7</v>
      </c>
      <c r="F524" s="27"/>
      <c r="G524" s="24" t="s">
        <v>46</v>
      </c>
      <c r="H524" s="527"/>
      <c r="I524" s="527"/>
      <c r="J524" s="527"/>
      <c r="K524" s="17"/>
      <c r="L524" s="224"/>
      <c r="M524" s="531"/>
      <c r="N524" s="531"/>
      <c r="O524" s="531"/>
      <c r="P524" s="531"/>
      <c r="Q524" s="531"/>
      <c r="R524" s="531"/>
      <c r="S524" s="531"/>
      <c r="T524" s="531"/>
      <c r="U524" s="531"/>
      <c r="V524" s="531"/>
      <c r="W524" s="531"/>
      <c r="X524" s="531"/>
      <c r="Y524" s="531"/>
      <c r="Z524" s="531"/>
      <c r="AA524" s="531"/>
    </row>
    <row r="525" spans="1:27" s="1" customFormat="1" ht="5.5" customHeight="1">
      <c r="A525" s="228"/>
      <c r="B525" s="240"/>
      <c r="C525" s="240"/>
      <c r="D525" s="240"/>
      <c r="E525" s="240"/>
      <c r="F525" s="240"/>
      <c r="G525" s="240"/>
      <c r="H525" s="240"/>
      <c r="I525" s="240"/>
      <c r="J525" s="240"/>
      <c r="K525" s="228"/>
      <c r="L525" s="224"/>
      <c r="M525" s="531"/>
      <c r="N525" s="531"/>
      <c r="O525" s="531"/>
      <c r="P525" s="531"/>
      <c r="Q525" s="531"/>
      <c r="R525" s="531"/>
      <c r="S525" s="531"/>
      <c r="T525" s="531"/>
      <c r="U525" s="531"/>
      <c r="V525" s="531"/>
      <c r="W525" s="531"/>
      <c r="X525" s="531"/>
      <c r="Y525" s="531"/>
      <c r="Z525" s="531"/>
      <c r="AA525" s="531"/>
    </row>
    <row r="526" spans="1:27" s="1" customFormat="1">
      <c r="A526" s="224"/>
      <c r="B526" s="233" t="s">
        <v>132</v>
      </c>
      <c r="C526" s="19"/>
      <c r="D526" s="19"/>
      <c r="E526" s="17"/>
      <c r="F526" s="17"/>
      <c r="G526" s="527"/>
      <c r="H526" s="527"/>
      <c r="I526" s="527"/>
      <c r="J526" s="527"/>
      <c r="K526" s="224"/>
      <c r="L526" s="224"/>
      <c r="M526" s="531"/>
      <c r="N526" s="531"/>
      <c r="O526" s="531"/>
      <c r="P526" s="531"/>
      <c r="Q526" s="531"/>
      <c r="R526" s="531"/>
      <c r="S526" s="531"/>
      <c r="T526" s="531"/>
      <c r="U526" s="531"/>
      <c r="V526" s="531"/>
      <c r="W526" s="531"/>
      <c r="X526" s="531"/>
      <c r="Y526" s="531"/>
      <c r="Z526" s="531"/>
      <c r="AA526" s="531"/>
    </row>
    <row r="527" spans="1:27" s="1" customFormat="1" ht="13" customHeight="1">
      <c r="A527" s="224"/>
      <c r="B527" s="233"/>
      <c r="C527" s="234" t="s">
        <v>128</v>
      </c>
      <c r="D527" s="21">
        <f>INDEX(Tragwerk!$R$27:$T$27,1,MATCH(Eingabe!$C$4,Tragwerk!$R$14:$T$14))</f>
        <v>84.446010528493645</v>
      </c>
      <c r="E527" s="19" t="s">
        <v>2</v>
      </c>
      <c r="F527" s="17"/>
      <c r="G527" s="527" t="s">
        <v>76</v>
      </c>
      <c r="H527" s="527"/>
      <c r="I527" s="527"/>
      <c r="J527" s="527"/>
      <c r="K527" s="224"/>
      <c r="L527" s="224"/>
      <c r="M527" s="531"/>
      <c r="N527" s="531"/>
      <c r="O527" s="531"/>
      <c r="P527" s="531"/>
      <c r="Q527" s="531"/>
      <c r="R527" s="531"/>
      <c r="S527" s="531"/>
      <c r="T527" s="531"/>
      <c r="U527" s="531"/>
      <c r="V527" s="531"/>
      <c r="W527" s="531"/>
      <c r="X527" s="531"/>
      <c r="Y527" s="531"/>
      <c r="Z527" s="531"/>
      <c r="AA527" s="531"/>
    </row>
    <row r="528" spans="1:27" s="1" customFormat="1" ht="13" customHeight="1">
      <c r="A528" s="224"/>
      <c r="B528" s="233"/>
      <c r="C528" s="234" t="s">
        <v>129</v>
      </c>
      <c r="D528" s="20">
        <f>INDEX(Tragwerk!$R$28:$T$28,1,MATCH(Eingabe!$C$4,Tragwerk!$R$14:$T$14))</f>
        <v>420</v>
      </c>
      <c r="E528" s="241" t="s">
        <v>0</v>
      </c>
      <c r="F528" s="17"/>
      <c r="G528" s="527" t="s">
        <v>1559</v>
      </c>
      <c r="H528" s="527"/>
      <c r="I528" s="527"/>
      <c r="J528" s="527"/>
      <c r="K528" s="224"/>
      <c r="L528" s="224"/>
      <c r="M528" s="531"/>
      <c r="N528" s="531"/>
      <c r="O528" s="531"/>
      <c r="P528" s="531"/>
      <c r="Q528" s="531"/>
      <c r="R528" s="531"/>
      <c r="S528" s="531"/>
      <c r="T528" s="531"/>
      <c r="U528" s="531"/>
      <c r="V528" s="531"/>
      <c r="W528" s="531"/>
      <c r="X528" s="531"/>
      <c r="Y528" s="531"/>
      <c r="Z528" s="531"/>
      <c r="AA528" s="531"/>
    </row>
    <row r="529" spans="1:27" s="1" customFormat="1" ht="13" customHeight="1">
      <c r="A529" s="224"/>
      <c r="B529" s="233"/>
      <c r="C529" s="234" t="s">
        <v>130</v>
      </c>
      <c r="D529" s="20">
        <f>INDEX(Tragwerk!$R$29:$T$29,1,MATCH(Eingabe!$C$4,Tragwerk!$R$14:$T$14))</f>
        <v>176400</v>
      </c>
      <c r="E529" s="241" t="s">
        <v>16</v>
      </c>
      <c r="F529" s="17"/>
      <c r="G529" s="527" t="s">
        <v>1554</v>
      </c>
      <c r="H529" s="527"/>
      <c r="I529" s="527"/>
      <c r="J529" s="527"/>
      <c r="K529" s="224"/>
      <c r="L529" s="224"/>
      <c r="M529" s="531"/>
      <c r="N529" s="531"/>
      <c r="O529" s="531"/>
      <c r="P529" s="531"/>
      <c r="Q529" s="531"/>
      <c r="R529" s="531"/>
      <c r="S529" s="531"/>
      <c r="T529" s="531"/>
      <c r="U529" s="531"/>
      <c r="V529" s="531"/>
      <c r="W529" s="531"/>
      <c r="X529" s="531"/>
      <c r="Y529" s="531"/>
      <c r="Z529" s="531"/>
      <c r="AA529" s="531"/>
    </row>
    <row r="530" spans="1:27" s="1" customFormat="1" ht="13" customHeight="1">
      <c r="A530" s="224"/>
      <c r="B530" s="233"/>
      <c r="C530" s="234" t="s">
        <v>131</v>
      </c>
      <c r="D530" s="20">
        <f>INDEX(Tragwerk!$R$30:$T$30,1,MATCH(Eingabe!$C$4,Tragwerk!$R$14:$T$14))</f>
        <v>142800</v>
      </c>
      <c r="E530" s="241" t="s">
        <v>16</v>
      </c>
      <c r="F530" s="17"/>
      <c r="G530" s="527" t="s">
        <v>1554</v>
      </c>
      <c r="H530" s="527"/>
      <c r="I530" s="527"/>
      <c r="J530" s="527"/>
      <c r="K530" s="224"/>
      <c r="L530" s="224"/>
      <c r="M530" s="531"/>
      <c r="N530" s="531"/>
      <c r="O530" s="531"/>
      <c r="P530" s="531"/>
      <c r="Q530" s="531"/>
      <c r="R530" s="531"/>
      <c r="S530" s="531"/>
      <c r="T530" s="531"/>
      <c r="U530" s="531"/>
      <c r="V530" s="531"/>
      <c r="W530" s="531"/>
      <c r="X530" s="531"/>
      <c r="Y530" s="531"/>
      <c r="Z530" s="531"/>
      <c r="AA530" s="531"/>
    </row>
    <row r="531" spans="1:27" s="1" customFormat="1" ht="13" customHeight="1">
      <c r="A531" s="224"/>
      <c r="B531" s="233"/>
      <c r="C531" s="234" t="s">
        <v>133</v>
      </c>
      <c r="D531" s="21">
        <f>INDEX(Tragwerk!$R$31:$T$31,1,MATCH(Eingabe!$C$4,Tragwerk!$R$14:$T$14))</f>
        <v>1</v>
      </c>
      <c r="E531" s="19" t="s">
        <v>7</v>
      </c>
      <c r="F531" s="17"/>
      <c r="G531" s="527" t="s">
        <v>1324</v>
      </c>
      <c r="H531" s="527"/>
      <c r="I531" s="527"/>
      <c r="J531" s="527"/>
      <c r="K531" s="224"/>
      <c r="L531" s="224"/>
      <c r="M531" s="531"/>
      <c r="N531" s="531"/>
      <c r="O531" s="531"/>
      <c r="P531" s="531"/>
      <c r="Q531" s="531"/>
      <c r="R531" s="531"/>
      <c r="S531" s="531"/>
      <c r="T531" s="531"/>
      <c r="U531" s="531"/>
      <c r="V531" s="531"/>
      <c r="W531" s="531"/>
      <c r="X531" s="531"/>
      <c r="Y531" s="531"/>
      <c r="Z531" s="531"/>
      <c r="AA531" s="531"/>
    </row>
    <row r="532" spans="1:27" s="1" customFormat="1" ht="13" customHeight="1">
      <c r="A532" s="224"/>
      <c r="B532" s="233"/>
      <c r="C532" s="234" t="s">
        <v>104</v>
      </c>
      <c r="D532" s="21">
        <f>INDEX(Tragwerk!$R$32:$T$32,1,MATCH(Eingabe!$C$4,Tragwerk!$R$14:$T$14))</f>
        <v>1</v>
      </c>
      <c r="E532" s="19" t="s">
        <v>7</v>
      </c>
      <c r="F532" s="17"/>
      <c r="G532" s="527" t="s">
        <v>1324</v>
      </c>
      <c r="H532" s="527"/>
      <c r="I532" s="527"/>
      <c r="J532" s="527"/>
      <c r="K532" s="224"/>
      <c r="L532" s="224"/>
      <c r="M532" s="531"/>
      <c r="N532" s="531"/>
      <c r="O532" s="531"/>
      <c r="P532" s="531"/>
      <c r="Q532" s="531"/>
      <c r="R532" s="531"/>
      <c r="S532" s="531"/>
      <c r="T532" s="531"/>
      <c r="U532" s="531"/>
      <c r="V532" s="531"/>
      <c r="W532" s="531"/>
      <c r="X532" s="531"/>
      <c r="Y532" s="531"/>
      <c r="Z532" s="531"/>
      <c r="AA532" s="531"/>
    </row>
    <row r="533" spans="1:27" s="1" customFormat="1" ht="13" customHeight="1">
      <c r="A533" s="224"/>
      <c r="B533" s="233"/>
      <c r="C533" s="234" t="s">
        <v>110</v>
      </c>
      <c r="D533" s="19">
        <f>INDEX(Tragwerk!$R$33:$T$33,1,MATCH(Eingabe!$C$4,Tragwerk!$R$14:$T$14))</f>
        <v>1.04</v>
      </c>
      <c r="E533" s="19" t="s">
        <v>7</v>
      </c>
      <c r="F533" s="17"/>
      <c r="G533" s="527" t="s">
        <v>360</v>
      </c>
      <c r="H533" s="527"/>
      <c r="I533" s="527"/>
      <c r="J533" s="527"/>
      <c r="K533" s="224"/>
      <c r="L533" s="224"/>
      <c r="M533" s="531"/>
      <c r="N533" s="531"/>
      <c r="O533" s="531"/>
      <c r="P533" s="531"/>
      <c r="Q533" s="531"/>
      <c r="R533" s="531"/>
      <c r="S533" s="531"/>
      <c r="T533" s="531"/>
      <c r="U533" s="531"/>
      <c r="V533" s="531"/>
      <c r="W533" s="531"/>
      <c r="X533" s="531"/>
      <c r="Y533" s="531"/>
      <c r="Z533" s="531"/>
      <c r="AA533" s="531"/>
    </row>
    <row r="534" spans="1:27" s="1" customFormat="1" ht="13" customHeight="1">
      <c r="A534" s="224"/>
      <c r="B534" s="233"/>
      <c r="C534" s="234" t="s">
        <v>111</v>
      </c>
      <c r="D534" s="19">
        <f>INDEX(Tragwerk!$R$34:$T$34,1,MATCH(Eingabe!$C$4,Tragwerk!$R$14:$T$14))</f>
        <v>1.07</v>
      </c>
      <c r="E534" s="19" t="s">
        <v>7</v>
      </c>
      <c r="F534" s="17"/>
      <c r="G534" s="527" t="s">
        <v>360</v>
      </c>
      <c r="H534" s="527"/>
      <c r="I534" s="527"/>
      <c r="J534" s="527"/>
      <c r="K534" s="224"/>
      <c r="L534" s="224"/>
      <c r="M534" s="531"/>
      <c r="N534" s="531"/>
      <c r="O534" s="531"/>
      <c r="P534" s="531"/>
      <c r="Q534" s="531"/>
      <c r="R534" s="531"/>
      <c r="S534" s="531"/>
      <c r="T534" s="531"/>
      <c r="U534" s="531"/>
      <c r="V534" s="531"/>
      <c r="W534" s="531"/>
      <c r="X534" s="531"/>
      <c r="Y534" s="531"/>
      <c r="Z534" s="531"/>
      <c r="AA534" s="531"/>
    </row>
    <row r="535" spans="1:27" s="1" customFormat="1" ht="13" customHeight="1">
      <c r="A535" s="224"/>
      <c r="B535" s="233"/>
      <c r="C535" s="234" t="s">
        <v>112</v>
      </c>
      <c r="D535" s="19">
        <f>INDEX(Tragwerk!$R$35:$T$35,1,MATCH(Eingabe!$C$4,Tragwerk!$R$14:$T$14))</f>
        <v>1.0900000000000001</v>
      </c>
      <c r="E535" s="19" t="s">
        <v>7</v>
      </c>
      <c r="F535" s="17"/>
      <c r="G535" s="527" t="s">
        <v>360</v>
      </c>
      <c r="H535" s="527"/>
      <c r="I535" s="527"/>
      <c r="J535" s="527"/>
      <c r="K535" s="224"/>
      <c r="L535" s="224"/>
      <c r="M535" s="531"/>
      <c r="N535" s="531"/>
      <c r="O535" s="531"/>
      <c r="P535" s="531"/>
      <c r="Q535" s="531"/>
      <c r="R535" s="531"/>
      <c r="S535" s="531"/>
      <c r="T535" s="531"/>
      <c r="U535" s="531"/>
      <c r="V535" s="531"/>
      <c r="W535" s="531"/>
      <c r="X535" s="531"/>
      <c r="Y535" s="531"/>
      <c r="Z535" s="531"/>
      <c r="AA535" s="531"/>
    </row>
    <row r="536" spans="1:27" s="1" customFormat="1" ht="13" customHeight="1">
      <c r="A536" s="224"/>
      <c r="B536" s="233"/>
      <c r="C536" s="234" t="s">
        <v>108</v>
      </c>
      <c r="D536" s="19">
        <f>Tragwerk!$R$38</f>
        <v>1.2</v>
      </c>
      <c r="E536" s="19" t="s">
        <v>7</v>
      </c>
      <c r="F536" s="17"/>
      <c r="G536" s="527" t="s">
        <v>1324</v>
      </c>
      <c r="H536" s="527"/>
      <c r="I536" s="527"/>
      <c r="J536" s="527"/>
      <c r="K536" s="224"/>
      <c r="L536" s="224"/>
      <c r="M536" s="531"/>
      <c r="N536" s="531"/>
      <c r="O536" s="531"/>
      <c r="P536" s="531"/>
      <c r="Q536" s="531"/>
      <c r="R536" s="531"/>
      <c r="S536" s="531"/>
      <c r="T536" s="531"/>
      <c r="U536" s="531"/>
      <c r="V536" s="531"/>
      <c r="W536" s="531"/>
      <c r="X536" s="531"/>
      <c r="Y536" s="531"/>
      <c r="Z536" s="531"/>
      <c r="AA536" s="531"/>
    </row>
    <row r="537" spans="1:27" s="1" customFormat="1" ht="13" customHeight="1">
      <c r="A537" s="224"/>
      <c r="B537" s="233"/>
      <c r="C537" s="234" t="s">
        <v>123</v>
      </c>
      <c r="D537" s="21">
        <f>INDEX(Tragwerk!R39:T39,1,MATCH(Eingabe!$C$4,Tragwerk!$R$14:$T$14))</f>
        <v>59.246248656498729</v>
      </c>
      <c r="E537" s="19" t="s">
        <v>2</v>
      </c>
      <c r="F537" s="17"/>
      <c r="G537" s="527" t="s">
        <v>73</v>
      </c>
      <c r="H537" s="527"/>
      <c r="I537" s="527"/>
      <c r="J537" s="527"/>
      <c r="K537" s="224"/>
      <c r="L537" s="224"/>
      <c r="M537" s="531"/>
      <c r="N537" s="531"/>
      <c r="O537" s="531"/>
      <c r="P537" s="531"/>
      <c r="Q537" s="531"/>
      <c r="R537" s="531"/>
      <c r="S537" s="531"/>
      <c r="T537" s="531"/>
      <c r="U537" s="531"/>
      <c r="V537" s="531"/>
      <c r="W537" s="531"/>
      <c r="X537" s="531"/>
      <c r="Y537" s="531"/>
      <c r="Z537" s="531"/>
      <c r="AA537" s="531"/>
    </row>
    <row r="538" spans="1:27" s="1" customFormat="1" ht="13" customHeight="1">
      <c r="A538" s="224"/>
      <c r="B538" s="233"/>
      <c r="C538" s="527" t="s">
        <v>306</v>
      </c>
      <c r="D538" s="21">
        <f>Tragwerk!$R$60</f>
        <v>3.6775975449364311</v>
      </c>
      <c r="E538" s="19" t="s">
        <v>2</v>
      </c>
      <c r="F538" s="17"/>
      <c r="G538" s="527" t="s">
        <v>75</v>
      </c>
      <c r="H538" s="527"/>
      <c r="I538" s="527"/>
      <c r="J538" s="527"/>
      <c r="K538" s="224"/>
      <c r="L538" s="224"/>
      <c r="M538" s="531"/>
      <c r="N538" s="531"/>
      <c r="O538" s="531"/>
      <c r="P538" s="531"/>
      <c r="Q538" s="531"/>
      <c r="R538" s="531"/>
      <c r="S538" s="531"/>
      <c r="T538" s="531"/>
      <c r="U538" s="531"/>
      <c r="V538" s="531"/>
      <c r="W538" s="531"/>
      <c r="X538" s="531"/>
      <c r="Y538" s="531"/>
      <c r="Z538" s="531"/>
      <c r="AA538" s="531"/>
    </row>
    <row r="539" spans="1:27" s="1" customFormat="1" ht="13" customHeight="1">
      <c r="A539" s="224"/>
      <c r="B539" s="233"/>
      <c r="C539" s="25" t="s">
        <v>122</v>
      </c>
      <c r="D539" s="26">
        <f>D538/D537</f>
        <v>6.2073086960469266E-2</v>
      </c>
      <c r="E539" s="520" t="s">
        <v>7</v>
      </c>
      <c r="F539" s="27"/>
      <c r="G539" s="24" t="s">
        <v>46</v>
      </c>
      <c r="H539" s="527"/>
      <c r="I539" s="527"/>
      <c r="J539" s="527"/>
      <c r="K539" s="224"/>
      <c r="L539" s="224"/>
      <c r="M539" s="531"/>
      <c r="N539" s="531"/>
      <c r="O539" s="531"/>
      <c r="P539" s="531"/>
      <c r="Q539" s="531"/>
      <c r="R539" s="531"/>
      <c r="S539" s="531"/>
      <c r="T539" s="531"/>
      <c r="U539" s="531"/>
      <c r="V539" s="531"/>
      <c r="W539" s="531"/>
      <c r="X539" s="531"/>
      <c r="Y539" s="531"/>
      <c r="Z539" s="531"/>
      <c r="AA539" s="531"/>
    </row>
    <row r="540" spans="1:27" s="1" customFormat="1" ht="5.5" customHeight="1">
      <c r="A540" s="228"/>
      <c r="B540" s="242"/>
      <c r="C540" s="242"/>
      <c r="D540" s="242"/>
      <c r="E540" s="242"/>
      <c r="F540" s="242"/>
      <c r="G540" s="242"/>
      <c r="H540" s="242"/>
      <c r="I540" s="242"/>
      <c r="J540" s="242"/>
      <c r="K540" s="228"/>
      <c r="L540" s="224"/>
      <c r="M540" s="531"/>
      <c r="N540" s="531"/>
      <c r="O540" s="531"/>
      <c r="P540" s="531"/>
      <c r="Q540" s="531"/>
      <c r="R540" s="531"/>
      <c r="S540" s="531"/>
      <c r="T540" s="531"/>
      <c r="U540" s="531"/>
      <c r="V540" s="531"/>
      <c r="W540" s="531"/>
      <c r="X540" s="531"/>
      <c r="Y540" s="531"/>
      <c r="Z540" s="531"/>
      <c r="AA540" s="531"/>
    </row>
    <row r="541" spans="1:27" s="1" customFormat="1">
      <c r="A541" s="224"/>
      <c r="B541" s="233" t="s">
        <v>8</v>
      </c>
      <c r="C541" s="19"/>
      <c r="D541" s="19"/>
      <c r="E541" s="17"/>
      <c r="F541" s="17"/>
      <c r="G541" s="527"/>
      <c r="H541" s="527"/>
      <c r="I541" s="527"/>
      <c r="J541" s="225"/>
      <c r="K541" s="224"/>
      <c r="L541" s="224"/>
      <c r="M541" s="531"/>
      <c r="N541" s="531"/>
      <c r="O541" s="531"/>
      <c r="P541" s="531"/>
      <c r="Q541" s="531"/>
      <c r="R541" s="531"/>
      <c r="S541" s="531"/>
      <c r="T541" s="531"/>
      <c r="U541" s="531"/>
      <c r="V541" s="531"/>
      <c r="W541" s="531"/>
      <c r="X541" s="531"/>
      <c r="Y541" s="531"/>
      <c r="Z541" s="531"/>
      <c r="AA541" s="531"/>
    </row>
    <row r="542" spans="1:27" s="1" customFormat="1" ht="13" customHeight="1">
      <c r="A542" s="224"/>
      <c r="B542" s="17"/>
      <c r="C542" s="527" t="s">
        <v>78</v>
      </c>
      <c r="D542" s="21">
        <f>INDEX(Tragwerk!R41:T41,1,MATCH(Eingabe!$C$4,Tragwerk!$R$14:$T$14))</f>
        <v>80.007519646593167</v>
      </c>
      <c r="E542" s="19" t="s">
        <v>2</v>
      </c>
      <c r="F542" s="17"/>
      <c r="G542" s="527" t="s">
        <v>1324</v>
      </c>
      <c r="H542" s="527"/>
      <c r="I542" s="527"/>
      <c r="J542" s="225"/>
      <c r="K542" s="224"/>
      <c r="L542" s="224"/>
      <c r="M542" s="531"/>
      <c r="N542" s="531"/>
      <c r="O542" s="531"/>
      <c r="P542" s="531"/>
      <c r="Q542" s="531"/>
      <c r="R542" s="531"/>
      <c r="S542" s="531"/>
      <c r="T542" s="531"/>
      <c r="U542" s="531"/>
      <c r="V542" s="531"/>
      <c r="W542" s="531"/>
      <c r="X542" s="531"/>
      <c r="Y542" s="531"/>
      <c r="Z542" s="531"/>
      <c r="AA542" s="531"/>
    </row>
    <row r="543" spans="1:27" s="1" customFormat="1" ht="13" customHeight="1">
      <c r="A543" s="224"/>
      <c r="B543" s="17"/>
      <c r="C543" s="527" t="s">
        <v>79</v>
      </c>
      <c r="D543" s="19">
        <f>INDEX(Tragwerk!R42:T42,1,MATCH(Eingabe!$C$4,Tragwerk!$R$14:$T$14))</f>
        <v>176400</v>
      </c>
      <c r="E543" s="19" t="s">
        <v>16</v>
      </c>
      <c r="F543" s="17"/>
      <c r="G543" s="527" t="s">
        <v>1324</v>
      </c>
      <c r="H543" s="527"/>
      <c r="I543" s="527"/>
      <c r="J543" s="225"/>
      <c r="K543" s="224"/>
      <c r="L543" s="224"/>
      <c r="M543" s="531"/>
      <c r="N543" s="531"/>
      <c r="O543" s="531"/>
      <c r="P543" s="531"/>
      <c r="Q543" s="531"/>
      <c r="R543" s="531"/>
      <c r="S543" s="531"/>
      <c r="T543" s="531"/>
      <c r="U543" s="531"/>
      <c r="V543" s="531"/>
      <c r="W543" s="531"/>
      <c r="X543" s="531"/>
      <c r="Y543" s="531"/>
      <c r="Z543" s="531"/>
      <c r="AA543" s="531"/>
    </row>
    <row r="544" spans="1:27" s="1" customFormat="1" ht="13" customHeight="1">
      <c r="A544" s="224"/>
      <c r="B544" s="17"/>
      <c r="C544" s="527" t="s">
        <v>80</v>
      </c>
      <c r="D544" s="19">
        <f>INDEX(Tragwerk!R43:T43,1,MATCH(Eingabe!$C$4,Tragwerk!$R$14:$T$14))</f>
        <v>142800</v>
      </c>
      <c r="E544" s="19" t="s">
        <v>16</v>
      </c>
      <c r="F544" s="17"/>
      <c r="G544" s="527" t="s">
        <v>1324</v>
      </c>
      <c r="H544" s="527"/>
      <c r="I544" s="527"/>
      <c r="J544" s="225"/>
      <c r="K544" s="224"/>
      <c r="L544" s="224"/>
      <c r="M544" s="531"/>
      <c r="N544" s="531"/>
      <c r="O544" s="531"/>
      <c r="P544" s="531"/>
      <c r="Q544" s="531"/>
      <c r="R544" s="531"/>
      <c r="S544" s="531"/>
      <c r="T544" s="531"/>
      <c r="U544" s="531"/>
      <c r="V544" s="531"/>
      <c r="W544" s="531"/>
      <c r="X544" s="531"/>
      <c r="Y544" s="531"/>
      <c r="Z544" s="531"/>
      <c r="AA544" s="531"/>
    </row>
    <row r="545" spans="1:27" s="1" customFormat="1" ht="13" customHeight="1">
      <c r="A545" s="224"/>
      <c r="B545" s="17"/>
      <c r="C545" s="23" t="s">
        <v>81</v>
      </c>
      <c r="D545" s="21">
        <f>INDEX(Tragwerk!R44:T44,1,MATCH(Eingabe!$C$4,Tragwerk!$R$14:$T$14))</f>
        <v>1</v>
      </c>
      <c r="E545" s="19" t="s">
        <v>7</v>
      </c>
      <c r="F545" s="17"/>
      <c r="G545" s="527" t="s">
        <v>1324</v>
      </c>
      <c r="H545" s="527"/>
      <c r="I545" s="527"/>
      <c r="J545" s="225"/>
      <c r="K545" s="224"/>
      <c r="L545" s="224"/>
      <c r="M545" s="531"/>
      <c r="N545" s="531"/>
      <c r="O545" s="531"/>
      <c r="P545" s="531"/>
      <c r="Q545" s="531"/>
      <c r="R545" s="531"/>
      <c r="S545" s="531"/>
      <c r="T545" s="531"/>
      <c r="U545" s="531"/>
      <c r="V545" s="531"/>
      <c r="W545" s="531"/>
      <c r="X545" s="531"/>
      <c r="Y545" s="531"/>
      <c r="Z545" s="531"/>
      <c r="AA545" s="531"/>
    </row>
    <row r="546" spans="1:27" s="1" customFormat="1" ht="13" customHeight="1">
      <c r="A546" s="224"/>
      <c r="B546" s="17"/>
      <c r="C546" s="23" t="s">
        <v>82</v>
      </c>
      <c r="D546" s="21">
        <f>INDEX(Tragwerk!R45:T45,1,MATCH(Eingabe!$C$4,Tragwerk!$R$14:$T$14))</f>
        <v>1</v>
      </c>
      <c r="E546" s="19" t="s">
        <v>7</v>
      </c>
      <c r="F546" s="17"/>
      <c r="G546" s="527" t="s">
        <v>1324</v>
      </c>
      <c r="H546" s="527"/>
      <c r="I546" s="527"/>
      <c r="J546" s="225"/>
      <c r="K546" s="224"/>
      <c r="L546" s="224"/>
      <c r="M546" s="531"/>
      <c r="N546" s="531"/>
      <c r="O546" s="531"/>
      <c r="P546" s="531"/>
      <c r="Q546" s="531"/>
      <c r="R546" s="531"/>
      <c r="S546" s="531"/>
      <c r="T546" s="531"/>
      <c r="U546" s="531"/>
      <c r="V546" s="531"/>
      <c r="W546" s="531"/>
      <c r="X546" s="531"/>
      <c r="Y546" s="531"/>
      <c r="Z546" s="531"/>
      <c r="AA546" s="531"/>
    </row>
    <row r="547" spans="1:27" s="1" customFormat="1" ht="13" customHeight="1">
      <c r="A547" s="224"/>
      <c r="B547" s="17"/>
      <c r="C547" s="23" t="s">
        <v>83</v>
      </c>
      <c r="D547" s="21">
        <f>INDEX(Tragwerk!R46:T46,1,MATCH(Eingabe!$C$4,Tragwerk!$R$14:$T$14))</f>
        <v>1</v>
      </c>
      <c r="E547" s="19" t="s">
        <v>7</v>
      </c>
      <c r="F547" s="17"/>
      <c r="G547" s="527" t="s">
        <v>1324</v>
      </c>
      <c r="H547" s="527"/>
      <c r="I547" s="527"/>
      <c r="J547" s="225"/>
      <c r="K547" s="224"/>
      <c r="L547" s="224"/>
      <c r="M547" s="531"/>
      <c r="N547" s="531"/>
      <c r="O547" s="531"/>
      <c r="P547" s="531"/>
      <c r="Q547" s="531"/>
      <c r="R547" s="531"/>
      <c r="S547" s="531"/>
      <c r="T547" s="531"/>
      <c r="U547" s="531"/>
      <c r="V547" s="531"/>
      <c r="W547" s="531"/>
      <c r="X547" s="531"/>
      <c r="Y547" s="531"/>
      <c r="Z547" s="531"/>
      <c r="AA547" s="531"/>
    </row>
    <row r="548" spans="1:27" s="1" customFormat="1" ht="13" customHeight="1">
      <c r="A548" s="224"/>
      <c r="B548" s="17"/>
      <c r="C548" s="527" t="s">
        <v>77</v>
      </c>
      <c r="D548" s="21">
        <f>INDEX(Tragwerk!R48:T48,1,MATCH(Eingabe!$C$4,Tragwerk!$R$14:$T$14))</f>
        <v>64.767992094861128</v>
      </c>
      <c r="E548" s="19" t="s">
        <v>2</v>
      </c>
      <c r="F548" s="17"/>
      <c r="G548" s="527" t="s">
        <v>1324</v>
      </c>
      <c r="H548" s="527"/>
      <c r="I548" s="527"/>
      <c r="J548" s="225"/>
      <c r="K548" s="224"/>
      <c r="L548" s="224"/>
      <c r="M548" s="531"/>
      <c r="N548" s="531"/>
      <c r="O548" s="531"/>
      <c r="P548" s="531"/>
      <c r="Q548" s="531"/>
      <c r="R548" s="531"/>
      <c r="S548" s="531"/>
      <c r="T548" s="531"/>
      <c r="U548" s="531"/>
      <c r="V548" s="531"/>
      <c r="W548" s="531"/>
      <c r="X548" s="531"/>
      <c r="Y548" s="531"/>
      <c r="Z548" s="531"/>
      <c r="AA548" s="531"/>
    </row>
    <row r="549" spans="1:27" s="1" customFormat="1" ht="13" customHeight="1">
      <c r="A549" s="224"/>
      <c r="B549" s="17"/>
      <c r="C549" s="17" t="s">
        <v>12</v>
      </c>
      <c r="D549" s="21">
        <f>Tragwerk!$R$49</f>
        <v>1.2</v>
      </c>
      <c r="E549" s="19" t="s">
        <v>7</v>
      </c>
      <c r="F549" s="17"/>
      <c r="G549" s="527" t="s">
        <v>1324</v>
      </c>
      <c r="H549" s="527"/>
      <c r="I549" s="527"/>
      <c r="J549" s="225"/>
      <c r="K549" s="224"/>
      <c r="L549" s="224"/>
      <c r="M549" s="531"/>
      <c r="N549" s="531"/>
      <c r="O549" s="531"/>
      <c r="P549" s="531"/>
      <c r="Q549" s="531"/>
      <c r="R549" s="531"/>
      <c r="S549" s="531"/>
      <c r="T549" s="531"/>
      <c r="U549" s="531"/>
      <c r="V549" s="531"/>
      <c r="W549" s="531"/>
      <c r="X549" s="531"/>
      <c r="Y549" s="531"/>
      <c r="Z549" s="531"/>
      <c r="AA549" s="531"/>
    </row>
    <row r="550" spans="1:27" s="1" customFormat="1" ht="13" customHeight="1">
      <c r="A550" s="224"/>
      <c r="B550" s="17"/>
      <c r="C550" s="527" t="s">
        <v>71</v>
      </c>
      <c r="D550" s="21">
        <f>INDEX(Tragwerk!R50:T50,1,MATCH(Eingabe!$C$4,Tragwerk!$R$14:$T$14))</f>
        <v>53.973326745717607</v>
      </c>
      <c r="E550" s="19" t="s">
        <v>2</v>
      </c>
      <c r="F550" s="17"/>
      <c r="G550" s="527" t="s">
        <v>73</v>
      </c>
      <c r="H550" s="527"/>
      <c r="I550" s="527"/>
      <c r="J550" s="225"/>
      <c r="K550" s="224"/>
      <c r="L550" s="224"/>
      <c r="M550" s="531"/>
      <c r="N550" s="531"/>
      <c r="O550" s="531"/>
      <c r="P550" s="531"/>
      <c r="Q550" s="531"/>
      <c r="R550" s="531"/>
      <c r="S550" s="531"/>
      <c r="T550" s="531"/>
      <c r="U550" s="531"/>
      <c r="V550" s="531"/>
      <c r="W550" s="531"/>
      <c r="X550" s="531"/>
      <c r="Y550" s="531"/>
      <c r="Z550" s="531"/>
      <c r="AA550" s="531"/>
    </row>
    <row r="551" spans="1:27" s="1" customFormat="1" ht="13" customHeight="1">
      <c r="A551" s="224"/>
      <c r="B551" s="17"/>
      <c r="C551" s="527" t="s">
        <v>306</v>
      </c>
      <c r="D551" s="21">
        <f>Tragwerk!$R$60</f>
        <v>3.6775975449364311</v>
      </c>
      <c r="E551" s="19" t="s">
        <v>2</v>
      </c>
      <c r="F551" s="17"/>
      <c r="G551" s="527" t="s">
        <v>75</v>
      </c>
      <c r="H551" s="527"/>
      <c r="I551" s="527"/>
      <c r="J551" s="225"/>
      <c r="K551" s="224"/>
      <c r="L551" s="224"/>
      <c r="M551" s="531"/>
      <c r="N551" s="531"/>
      <c r="O551" s="531"/>
      <c r="P551" s="531"/>
      <c r="Q551" s="531"/>
      <c r="R551" s="531"/>
      <c r="S551" s="531"/>
      <c r="T551" s="531"/>
      <c r="U551" s="531"/>
      <c r="V551" s="531"/>
      <c r="W551" s="531"/>
      <c r="X551" s="531"/>
      <c r="Y551" s="531"/>
      <c r="Z551" s="531"/>
      <c r="AA551" s="531"/>
    </row>
    <row r="552" spans="1:27" s="1" customFormat="1" ht="13" customHeight="1">
      <c r="A552" s="224"/>
      <c r="B552" s="17"/>
      <c r="C552" s="25" t="s">
        <v>89</v>
      </c>
      <c r="D552" s="26">
        <f>D551/D550</f>
        <v>6.8137314608427799E-2</v>
      </c>
      <c r="E552" s="520" t="s">
        <v>7</v>
      </c>
      <c r="F552" s="27"/>
      <c r="G552" s="24" t="s">
        <v>46</v>
      </c>
      <c r="H552" s="527"/>
      <c r="I552" s="527"/>
      <c r="J552" s="225"/>
      <c r="K552" s="224"/>
      <c r="L552" s="224"/>
      <c r="M552" s="531"/>
      <c r="N552" s="531"/>
      <c r="O552" s="531"/>
      <c r="P552" s="531"/>
      <c r="Q552" s="531"/>
      <c r="R552" s="531"/>
      <c r="S552" s="531"/>
      <c r="T552" s="531"/>
      <c r="U552" s="531"/>
      <c r="V552" s="531"/>
      <c r="W552" s="531"/>
      <c r="X552" s="531"/>
      <c r="Y552" s="531"/>
      <c r="Z552" s="531"/>
      <c r="AA552" s="531"/>
    </row>
    <row r="553" spans="1:27" s="1" customFormat="1" ht="5.5" customHeight="1">
      <c r="A553" s="17"/>
      <c r="B553" s="17"/>
      <c r="C553" s="23"/>
      <c r="D553" s="18"/>
      <c r="E553" s="19"/>
      <c r="F553" s="17"/>
      <c r="G553" s="527"/>
      <c r="H553" s="20"/>
      <c r="I553" s="17"/>
      <c r="J553" s="17"/>
      <c r="K553" s="17"/>
      <c r="L553" s="224"/>
      <c r="M553" s="531"/>
      <c r="N553" s="531"/>
      <c r="O553" s="531"/>
      <c r="P553" s="531"/>
      <c r="Q553" s="531"/>
      <c r="R553" s="531"/>
      <c r="S553" s="531"/>
      <c r="T553" s="531"/>
      <c r="U553" s="531"/>
      <c r="V553" s="531"/>
      <c r="W553" s="531"/>
      <c r="X553" s="531"/>
      <c r="Y553" s="531"/>
      <c r="Z553" s="531"/>
      <c r="AA553" s="531"/>
    </row>
    <row r="554" spans="1:27" s="457" customFormat="1" ht="14.15" customHeight="1">
      <c r="A554" s="1032" t="s">
        <v>513</v>
      </c>
      <c r="B554" s="1032"/>
      <c r="C554" s="1032"/>
      <c r="D554" s="1032"/>
      <c r="E554" s="1032"/>
      <c r="F554" s="1032"/>
      <c r="G554" s="1032"/>
      <c r="H554" s="1032"/>
      <c r="I554" s="1032"/>
      <c r="J554" s="1032"/>
      <c r="K554" s="520"/>
      <c r="L554" s="224"/>
      <c r="M554" s="531"/>
      <c r="N554" s="531"/>
      <c r="O554" s="531"/>
      <c r="P554" s="531"/>
      <c r="Q554" s="531"/>
      <c r="R554" s="531"/>
      <c r="S554" s="531"/>
      <c r="T554" s="531"/>
      <c r="U554" s="531"/>
      <c r="V554" s="531"/>
      <c r="W554" s="531"/>
      <c r="X554" s="531"/>
      <c r="Y554" s="531"/>
      <c r="Z554" s="531"/>
      <c r="AA554" s="531"/>
    </row>
    <row r="555" spans="1:27" s="457" customFormat="1" ht="14.15" customHeight="1">
      <c r="A555" s="17"/>
      <c r="B555" s="235" t="s">
        <v>120</v>
      </c>
      <c r="C555" s="23"/>
      <c r="D555" s="18"/>
      <c r="E555" s="19"/>
      <c r="F555" s="17"/>
      <c r="G555" s="527"/>
      <c r="H555" s="20"/>
      <c r="I555" s="17"/>
      <c r="J555" s="17"/>
      <c r="K555" s="17"/>
      <c r="L555" s="224"/>
      <c r="M555" s="531"/>
      <c r="N555" s="531"/>
      <c r="O555" s="531"/>
      <c r="P555" s="531"/>
      <c r="Q555" s="531"/>
      <c r="R555" s="531"/>
      <c r="S555" s="531"/>
      <c r="T555" s="531"/>
      <c r="U555" s="531"/>
      <c r="V555" s="531"/>
      <c r="W555" s="531"/>
      <c r="X555" s="531"/>
      <c r="Y555" s="531"/>
      <c r="Z555" s="531"/>
      <c r="AA555" s="531"/>
    </row>
    <row r="556" spans="1:27" s="457" customFormat="1" ht="13" customHeight="1">
      <c r="A556" s="17"/>
      <c r="B556" s="17"/>
      <c r="C556" s="527" t="s">
        <v>118</v>
      </c>
      <c r="D556" s="21">
        <f>INDEX(Tragwerk!R65:T65,1,MATCH(Eingabe!$C$4,Tragwerk!$R$14:$T$14))</f>
        <v>764.11576346761751</v>
      </c>
      <c r="E556" s="19" t="s">
        <v>119</v>
      </c>
      <c r="F556" s="17"/>
      <c r="G556" s="527" t="s">
        <v>362</v>
      </c>
      <c r="H556" s="20"/>
      <c r="I556" s="17"/>
      <c r="J556" s="17"/>
      <c r="K556" s="17"/>
      <c r="L556" s="224"/>
      <c r="M556" s="531"/>
      <c r="N556" s="531"/>
      <c r="O556" s="531"/>
      <c r="P556" s="531"/>
      <c r="Q556" s="531"/>
      <c r="R556" s="531"/>
      <c r="S556" s="531"/>
      <c r="T556" s="531"/>
      <c r="U556" s="531"/>
      <c r="V556" s="531"/>
      <c r="W556" s="531"/>
      <c r="X556" s="531"/>
      <c r="Y556" s="531"/>
      <c r="Z556" s="531"/>
      <c r="AA556" s="531"/>
    </row>
    <row r="557" spans="1:27" s="457" customFormat="1" ht="13" customHeight="1">
      <c r="A557" s="17"/>
      <c r="B557" s="17"/>
      <c r="C557" s="17" t="s">
        <v>3</v>
      </c>
      <c r="D557" s="21">
        <f>Tragwerk!$R$66</f>
        <v>1.56</v>
      </c>
      <c r="E557" s="19" t="s">
        <v>7</v>
      </c>
      <c r="F557" s="17"/>
      <c r="G557" s="527" t="s">
        <v>359</v>
      </c>
      <c r="H557" s="20"/>
      <c r="I557" s="17"/>
      <c r="J557" s="17"/>
      <c r="K557" s="17"/>
      <c r="L557" s="224"/>
      <c r="M557" s="531"/>
      <c r="N557" s="531"/>
      <c r="O557" s="531"/>
      <c r="P557" s="531"/>
      <c r="Q557" s="531"/>
      <c r="R557" s="531"/>
      <c r="S557" s="531"/>
      <c r="T557" s="531"/>
      <c r="U557" s="531"/>
      <c r="V557" s="531"/>
      <c r="W557" s="531"/>
      <c r="X557" s="531"/>
      <c r="Y557" s="531"/>
      <c r="Z557" s="531"/>
      <c r="AA557" s="531"/>
    </row>
    <row r="558" spans="1:27" s="457" customFormat="1" ht="13" customHeight="1">
      <c r="A558" s="17"/>
      <c r="B558" s="17"/>
      <c r="C558" s="527" t="s">
        <v>65</v>
      </c>
      <c r="D558" s="21">
        <f>INDEX(Tragwerk!R67:T67,1,MATCH(Eingabe!$C$4,Tragwerk!$R$14:$T$14))</f>
        <v>30.613612318414162</v>
      </c>
      <c r="E558" s="19" t="s">
        <v>2</v>
      </c>
      <c r="F558" s="17"/>
      <c r="G558" s="527" t="s">
        <v>73</v>
      </c>
      <c r="H558" s="20"/>
      <c r="I558" s="17"/>
      <c r="J558" s="17"/>
      <c r="K558" s="17"/>
      <c r="L558" s="224"/>
      <c r="M558" s="531"/>
      <c r="N558" s="531"/>
      <c r="O558" s="531"/>
      <c r="P558" s="531"/>
      <c r="Q558" s="531"/>
      <c r="R558" s="531"/>
      <c r="S558" s="531"/>
      <c r="T558" s="531"/>
      <c r="U558" s="531"/>
      <c r="V558" s="531"/>
      <c r="W558" s="531"/>
      <c r="X558" s="531"/>
      <c r="Y558" s="531"/>
      <c r="Z558" s="531"/>
      <c r="AA558" s="531"/>
    </row>
    <row r="559" spans="1:27" s="457" customFormat="1" ht="13" customHeight="1">
      <c r="A559" s="17"/>
      <c r="B559" s="17"/>
      <c r="C559" s="527" t="s">
        <v>307</v>
      </c>
      <c r="D559" s="21">
        <f>Tragwerk!$R$68</f>
        <v>29.921271248249965</v>
      </c>
      <c r="E559" s="19" t="s">
        <v>2</v>
      </c>
      <c r="F559" s="17"/>
      <c r="G559" s="527" t="s">
        <v>75</v>
      </c>
      <c r="H559" s="20"/>
      <c r="I559" s="17"/>
      <c r="J559" s="17"/>
      <c r="K559" s="17"/>
      <c r="L559" s="224"/>
      <c r="M559" s="531"/>
      <c r="N559" s="531"/>
      <c r="O559" s="531"/>
      <c r="P559" s="531"/>
      <c r="Q559" s="531"/>
      <c r="R559" s="531"/>
      <c r="S559" s="531"/>
      <c r="T559" s="531"/>
      <c r="U559" s="531"/>
      <c r="V559" s="531"/>
      <c r="W559" s="531"/>
      <c r="X559" s="531"/>
      <c r="Y559" s="531"/>
      <c r="Z559" s="531"/>
      <c r="AA559" s="531"/>
    </row>
    <row r="560" spans="1:27" s="457" customFormat="1" ht="13" customHeight="1">
      <c r="A560" s="17"/>
      <c r="B560" s="17"/>
      <c r="C560" s="25" t="s">
        <v>90</v>
      </c>
      <c r="D560" s="26">
        <f>D559/D558</f>
        <v>0.97738453525303992</v>
      </c>
      <c r="E560" s="520" t="s">
        <v>7</v>
      </c>
      <c r="F560" s="27"/>
      <c r="G560" s="24" t="s">
        <v>46</v>
      </c>
      <c r="H560" s="20"/>
      <c r="I560" s="17"/>
      <c r="J560" s="17"/>
      <c r="K560" s="17"/>
      <c r="L560" s="224"/>
      <c r="M560" s="531"/>
      <c r="N560" s="531"/>
      <c r="O560" s="531"/>
      <c r="P560" s="531"/>
      <c r="Q560" s="531"/>
      <c r="R560" s="531"/>
      <c r="S560" s="531"/>
      <c r="T560" s="531"/>
      <c r="U560" s="531"/>
      <c r="V560" s="531"/>
      <c r="W560" s="531"/>
      <c r="X560" s="531"/>
      <c r="Y560" s="531"/>
      <c r="Z560" s="531"/>
      <c r="AA560" s="531"/>
    </row>
    <row r="561" spans="1:27" s="457" customFormat="1" ht="5.9" customHeight="1">
      <c r="A561" s="17"/>
      <c r="B561" s="17"/>
      <c r="C561" s="23"/>
      <c r="D561" s="18"/>
      <c r="E561" s="19"/>
      <c r="F561" s="17"/>
      <c r="G561" s="527"/>
      <c r="H561" s="20"/>
      <c r="I561" s="17"/>
      <c r="J561" s="17"/>
      <c r="K561" s="17"/>
      <c r="L561" s="224"/>
      <c r="M561" s="531"/>
      <c r="N561" s="531"/>
      <c r="O561" s="531"/>
      <c r="P561" s="531"/>
      <c r="Q561" s="531"/>
      <c r="R561" s="531"/>
      <c r="S561" s="531"/>
      <c r="T561" s="531"/>
      <c r="U561" s="531"/>
      <c r="V561" s="531"/>
      <c r="W561" s="531"/>
      <c r="X561" s="531"/>
      <c r="Y561" s="531"/>
      <c r="Z561" s="531"/>
      <c r="AA561" s="531"/>
    </row>
    <row r="562" spans="1:27" s="457" customFormat="1" ht="14.15" customHeight="1">
      <c r="A562" s="17"/>
      <c r="B562" s="238" t="s">
        <v>9</v>
      </c>
      <c r="C562" s="23"/>
      <c r="D562" s="18"/>
      <c r="E562" s="19"/>
      <c r="F562" s="17"/>
      <c r="G562" s="527"/>
      <c r="H562" s="20"/>
      <c r="I562" s="17"/>
      <c r="J562" s="17"/>
      <c r="K562" s="17"/>
      <c r="L562" s="224"/>
      <c r="M562" s="531"/>
      <c r="N562" s="531"/>
      <c r="O562" s="531"/>
      <c r="P562" s="531"/>
      <c r="Q562" s="531"/>
      <c r="R562" s="531"/>
      <c r="S562" s="531"/>
      <c r="T562" s="531"/>
      <c r="U562" s="531"/>
      <c r="V562" s="531"/>
      <c r="W562" s="531"/>
      <c r="X562" s="531"/>
      <c r="Y562" s="531"/>
      <c r="Z562" s="531"/>
      <c r="AA562" s="531"/>
    </row>
    <row r="563" spans="1:27" s="457" customFormat="1" ht="13" customHeight="1">
      <c r="A563" s="17"/>
      <c r="B563" s="17"/>
      <c r="C563" s="4" t="s">
        <v>10</v>
      </c>
      <c r="D563" s="18">
        <f>Tragwerk!$R$71</f>
        <v>2.5</v>
      </c>
      <c r="E563" s="19" t="s">
        <v>7</v>
      </c>
      <c r="F563" s="17"/>
      <c r="G563" s="17" t="s">
        <v>509</v>
      </c>
      <c r="H563" s="20"/>
      <c r="I563" s="17"/>
      <c r="J563" s="17"/>
      <c r="K563" s="17"/>
      <c r="L563" s="224"/>
      <c r="M563" s="531"/>
      <c r="N563" s="531"/>
      <c r="O563" s="531"/>
      <c r="P563" s="531"/>
      <c r="Q563" s="531"/>
      <c r="R563" s="531"/>
      <c r="S563" s="531"/>
      <c r="T563" s="531"/>
      <c r="U563" s="531"/>
      <c r="V563" s="531"/>
      <c r="W563" s="531"/>
      <c r="X563" s="531"/>
      <c r="Y563" s="531"/>
      <c r="Z563" s="531"/>
      <c r="AA563" s="531"/>
    </row>
    <row r="564" spans="1:27" s="457" customFormat="1" ht="13" customHeight="1">
      <c r="A564" s="17"/>
      <c r="B564" s="17"/>
      <c r="C564" s="527" t="s">
        <v>18</v>
      </c>
      <c r="D564" s="21">
        <f>INDEX(Tragwerk!R72:T72,1,MATCH(Eingabe!$C$4,Tragwerk!$R$14:$T$14))</f>
        <v>161.91998023715283</v>
      </c>
      <c r="E564" s="237" t="s">
        <v>2</v>
      </c>
      <c r="F564" s="17"/>
      <c r="G564" s="527" t="s">
        <v>1324</v>
      </c>
      <c r="H564" s="20"/>
      <c r="I564" s="17"/>
      <c r="J564" s="17"/>
      <c r="K564" s="17"/>
      <c r="L564" s="224"/>
      <c r="M564" s="531"/>
      <c r="N564" s="531"/>
      <c r="O564" s="531"/>
      <c r="P564" s="531"/>
      <c r="Q564" s="531"/>
      <c r="R564" s="531"/>
      <c r="S564" s="531"/>
      <c r="T564" s="531"/>
      <c r="U564" s="531"/>
      <c r="V564" s="531"/>
      <c r="W564" s="531"/>
      <c r="X564" s="531"/>
      <c r="Y564" s="531"/>
      <c r="Z564" s="531"/>
      <c r="AA564" s="531"/>
    </row>
    <row r="565" spans="1:27" s="457" customFormat="1" ht="13" customHeight="1">
      <c r="A565" s="17"/>
      <c r="B565" s="17"/>
      <c r="C565" s="17" t="s">
        <v>12</v>
      </c>
      <c r="D565" s="21">
        <f>Tragwerk!$R$73</f>
        <v>1.2</v>
      </c>
      <c r="E565" s="19" t="s">
        <v>7</v>
      </c>
      <c r="F565" s="17"/>
      <c r="G565" s="527" t="s">
        <v>1324</v>
      </c>
      <c r="H565" s="20"/>
      <c r="I565" s="17"/>
      <c r="J565" s="17"/>
      <c r="K565" s="17"/>
      <c r="L565" s="224"/>
      <c r="M565" s="531"/>
      <c r="N565" s="531"/>
      <c r="O565" s="531"/>
      <c r="P565" s="531"/>
      <c r="Q565" s="531"/>
      <c r="R565" s="531"/>
      <c r="S565" s="531"/>
      <c r="T565" s="531"/>
      <c r="U565" s="531"/>
      <c r="V565" s="531"/>
      <c r="W565" s="531"/>
      <c r="X565" s="531"/>
      <c r="Y565" s="531"/>
      <c r="Z565" s="531"/>
      <c r="AA565" s="531"/>
    </row>
    <row r="566" spans="1:27" s="457" customFormat="1" ht="13" customHeight="1">
      <c r="A566" s="17"/>
      <c r="B566" s="17"/>
      <c r="C566" s="17" t="s">
        <v>72</v>
      </c>
      <c r="D566" s="21">
        <f>INDEX(Tragwerk!R74:T74,1,MATCH(Eingabe!$C$4,Tragwerk!$R$14:$T$14))</f>
        <v>134.93331686429403</v>
      </c>
      <c r="E566" s="19" t="s">
        <v>2</v>
      </c>
      <c r="F566" s="17"/>
      <c r="G566" s="527" t="s">
        <v>73</v>
      </c>
      <c r="H566" s="20"/>
      <c r="I566" s="17"/>
      <c r="J566" s="17"/>
      <c r="K566" s="17"/>
      <c r="L566" s="224"/>
      <c r="M566" s="531"/>
      <c r="N566" s="531"/>
      <c r="O566" s="531"/>
      <c r="P566" s="531"/>
      <c r="Q566" s="531"/>
      <c r="R566" s="531"/>
      <c r="S566" s="531"/>
      <c r="T566" s="531"/>
      <c r="U566" s="531"/>
      <c r="V566" s="531"/>
      <c r="W566" s="531"/>
      <c r="X566" s="531"/>
      <c r="Y566" s="531"/>
      <c r="Z566" s="531"/>
      <c r="AA566" s="531"/>
    </row>
    <row r="567" spans="1:27" s="457" customFormat="1" ht="13" customHeight="1">
      <c r="A567" s="17"/>
      <c r="B567" s="17"/>
      <c r="C567" s="527" t="s">
        <v>307</v>
      </c>
      <c r="D567" s="21">
        <f>Tragwerk!$R$68</f>
        <v>29.921271248249965</v>
      </c>
      <c r="E567" s="19" t="s">
        <v>2</v>
      </c>
      <c r="F567" s="17"/>
      <c r="G567" s="527" t="s">
        <v>75</v>
      </c>
      <c r="H567" s="20"/>
      <c r="I567" s="17"/>
      <c r="J567" s="17"/>
      <c r="K567" s="17"/>
      <c r="L567" s="224"/>
      <c r="M567" s="531"/>
      <c r="N567" s="531"/>
      <c r="O567" s="531"/>
      <c r="P567" s="531"/>
      <c r="Q567" s="531"/>
      <c r="R567" s="531"/>
      <c r="S567" s="531"/>
      <c r="T567" s="531"/>
      <c r="U567" s="531"/>
      <c r="V567" s="531"/>
      <c r="W567" s="531"/>
      <c r="X567" s="531"/>
      <c r="Y567" s="531"/>
      <c r="Z567" s="531"/>
      <c r="AA567" s="531"/>
    </row>
    <row r="568" spans="1:27" s="457" customFormat="1" ht="13" customHeight="1">
      <c r="A568" s="17"/>
      <c r="B568" s="17"/>
      <c r="C568" s="25" t="s">
        <v>91</v>
      </c>
      <c r="D568" s="26">
        <f>D567/D566</f>
        <v>0.22174857880609702</v>
      </c>
      <c r="E568" s="520" t="s">
        <v>7</v>
      </c>
      <c r="F568" s="27"/>
      <c r="G568" s="24" t="s">
        <v>46</v>
      </c>
      <c r="H568" s="20"/>
      <c r="I568" s="17"/>
      <c r="J568" s="17"/>
      <c r="K568" s="17"/>
      <c r="L568" s="224"/>
      <c r="M568" s="531"/>
      <c r="N568" s="531"/>
      <c r="O568" s="531"/>
      <c r="P568" s="531"/>
      <c r="Q568" s="531"/>
      <c r="R568" s="531"/>
      <c r="S568" s="531"/>
      <c r="T568" s="531"/>
      <c r="U568" s="531"/>
      <c r="V568" s="531"/>
      <c r="W568" s="531"/>
      <c r="X568" s="531"/>
      <c r="Y568" s="531"/>
      <c r="Z568" s="531"/>
      <c r="AA568" s="531"/>
    </row>
    <row r="569" spans="1:27" s="457" customFormat="1" ht="5.9" customHeight="1">
      <c r="A569" s="17"/>
      <c r="B569" s="17"/>
      <c r="C569" s="23"/>
      <c r="D569" s="18"/>
      <c r="E569" s="19"/>
      <c r="F569" s="17"/>
      <c r="G569" s="527"/>
      <c r="H569" s="20"/>
      <c r="I569" s="17"/>
      <c r="J569" s="17"/>
      <c r="K569" s="17"/>
      <c r="L569" s="224"/>
      <c r="M569" s="531"/>
      <c r="N569" s="531"/>
      <c r="O569" s="531"/>
      <c r="P569" s="531"/>
      <c r="Q569" s="531"/>
      <c r="R569" s="531"/>
      <c r="S569" s="531"/>
      <c r="T569" s="531"/>
      <c r="U569" s="531"/>
      <c r="V569" s="531"/>
      <c r="W569" s="531"/>
      <c r="X569" s="531"/>
      <c r="Y569" s="531"/>
      <c r="Z569" s="531"/>
      <c r="AA569" s="531"/>
    </row>
    <row r="570" spans="1:27" s="457" customFormat="1" ht="14.15" customHeight="1">
      <c r="A570" s="17"/>
      <c r="B570" s="238" t="s">
        <v>11</v>
      </c>
      <c r="C570" s="23"/>
      <c r="D570" s="18"/>
      <c r="E570" s="19"/>
      <c r="F570" s="17"/>
      <c r="G570" s="527"/>
      <c r="H570" s="20"/>
      <c r="I570" s="17"/>
      <c r="J570" s="17"/>
      <c r="K570" s="17"/>
      <c r="L570" s="224"/>
      <c r="M570" s="531"/>
      <c r="N570" s="531"/>
      <c r="O570" s="531"/>
      <c r="P570" s="531"/>
      <c r="Q570" s="531"/>
      <c r="R570" s="531"/>
      <c r="S570" s="531"/>
      <c r="T570" s="531"/>
      <c r="U570" s="531"/>
      <c r="V570" s="531"/>
      <c r="W570" s="531"/>
      <c r="X570" s="531"/>
      <c r="Y570" s="531"/>
      <c r="Z570" s="531"/>
      <c r="AA570" s="531"/>
    </row>
    <row r="571" spans="1:27" s="457" customFormat="1" ht="13" customHeight="1">
      <c r="A571" s="17"/>
      <c r="B571" s="17"/>
      <c r="C571" s="234" t="s">
        <v>21</v>
      </c>
      <c r="D571" s="450">
        <f>INDEX(Tragwerk!R76:T76,1,MATCH(Eingabe!$C$4,Tragwerk!$B$14:$D$14))</f>
        <v>3.859224924939799E-2</v>
      </c>
      <c r="E571" s="19" t="s">
        <v>7</v>
      </c>
      <c r="F571" s="27"/>
      <c r="G571" s="527" t="s">
        <v>1324</v>
      </c>
      <c r="H571" s="20"/>
      <c r="I571" s="17"/>
      <c r="J571" s="17"/>
      <c r="K571" s="17"/>
      <c r="L571" s="224"/>
      <c r="M571" s="531"/>
      <c r="N571" s="531"/>
      <c r="O571" s="531"/>
      <c r="P571" s="531"/>
      <c r="Q571" s="531"/>
      <c r="R571" s="531"/>
      <c r="S571" s="531"/>
      <c r="T571" s="531"/>
      <c r="U571" s="531"/>
      <c r="V571" s="531"/>
      <c r="W571" s="531"/>
      <c r="X571" s="531"/>
      <c r="Y571" s="531"/>
      <c r="Z571" s="531"/>
      <c r="AA571" s="531"/>
    </row>
    <row r="572" spans="1:27" s="457" customFormat="1" ht="13" customHeight="1">
      <c r="A572" s="17"/>
      <c r="B572" s="17"/>
      <c r="C572" s="234" t="s">
        <v>134</v>
      </c>
      <c r="D572" s="450">
        <f>INDEX(Tragwerk!R77:T77,1,MATCH(Eingabe!$C$4,Tragwerk!$B$14:$D$14))</f>
        <v>4.8019394289709035E-2</v>
      </c>
      <c r="E572" s="19" t="s">
        <v>7</v>
      </c>
      <c r="F572" s="27"/>
      <c r="G572" s="527" t="s">
        <v>1324</v>
      </c>
      <c r="H572" s="20"/>
      <c r="I572" s="17"/>
      <c r="J572" s="17"/>
      <c r="K572" s="17"/>
      <c r="L572" s="224"/>
      <c r="M572" s="531"/>
      <c r="N572" s="531"/>
      <c r="O572" s="531"/>
      <c r="P572" s="531"/>
      <c r="Q572" s="531"/>
      <c r="R572" s="531"/>
      <c r="S572" s="531"/>
      <c r="T572" s="531"/>
      <c r="U572" s="531"/>
      <c r="V572" s="531"/>
      <c r="W572" s="531"/>
      <c r="X572" s="531"/>
      <c r="Y572" s="531"/>
      <c r="Z572" s="531"/>
      <c r="AA572" s="531"/>
    </row>
    <row r="573" spans="1:27" s="457" customFormat="1" ht="13" customHeight="1">
      <c r="A573" s="17"/>
      <c r="B573" s="17"/>
      <c r="C573" s="234" t="s">
        <v>481</v>
      </c>
      <c r="D573" s="21">
        <f>INDEX(Tragwerk!R78:T78,1,MATCH(Eingabe!$C$4,Tragwerk!$B$14:$D$14))</f>
        <v>471.05127459020582</v>
      </c>
      <c r="E573" s="237" t="s">
        <v>2</v>
      </c>
      <c r="F573" s="27"/>
      <c r="G573" s="527" t="s">
        <v>1324</v>
      </c>
      <c r="H573" s="20"/>
      <c r="I573" s="17"/>
      <c r="J573" s="17"/>
      <c r="K573" s="17"/>
      <c r="L573" s="224"/>
      <c r="M573" s="531"/>
      <c r="N573" s="531"/>
      <c r="O573" s="531"/>
      <c r="P573" s="531"/>
      <c r="Q573" s="531"/>
      <c r="R573" s="531"/>
      <c r="S573" s="531"/>
      <c r="T573" s="531"/>
      <c r="U573" s="531"/>
      <c r="V573" s="531"/>
      <c r="W573" s="531"/>
      <c r="X573" s="531"/>
      <c r="Y573" s="531"/>
      <c r="Z573" s="531"/>
      <c r="AA573" s="531"/>
    </row>
    <row r="574" spans="1:27" s="457" customFormat="1" ht="13" customHeight="1">
      <c r="A574" s="17"/>
      <c r="B574" s="17"/>
      <c r="C574" s="234" t="s">
        <v>482</v>
      </c>
      <c r="D574" s="20">
        <f>INDEX(Tragwerk!R79:T79,1,MATCH(Eingabe!$C$4,Tragwerk!$B$14:$D$14))</f>
        <v>3976200</v>
      </c>
      <c r="E574" s="19" t="s">
        <v>16</v>
      </c>
      <c r="F574" s="27"/>
      <c r="G574" s="527" t="s">
        <v>1324</v>
      </c>
      <c r="H574" s="20"/>
      <c r="I574" s="17"/>
      <c r="J574" s="17"/>
      <c r="K574" s="17"/>
      <c r="L574" s="224"/>
      <c r="M574" s="531"/>
      <c r="N574" s="531"/>
      <c r="O574" s="531"/>
      <c r="P574" s="531"/>
      <c r="Q574" s="531"/>
      <c r="R574" s="531"/>
      <c r="S574" s="531"/>
      <c r="T574" s="531"/>
      <c r="U574" s="531"/>
      <c r="V574" s="531"/>
      <c r="W574" s="531"/>
      <c r="X574" s="531"/>
      <c r="Y574" s="531"/>
      <c r="Z574" s="531"/>
      <c r="AA574" s="531"/>
    </row>
    <row r="575" spans="1:27" s="457" customFormat="1" ht="13" customHeight="1">
      <c r="A575" s="17"/>
      <c r="B575" s="17"/>
      <c r="C575" s="234" t="s">
        <v>483</v>
      </c>
      <c r="D575" s="20">
        <f>INDEX(Tragwerk!R80:T80,1,MATCH(Eingabe!$C$4,Tragwerk!$B$14:$D$14))</f>
        <v>564000</v>
      </c>
      <c r="E575" s="19" t="s">
        <v>16</v>
      </c>
      <c r="F575" s="27"/>
      <c r="G575" s="527" t="s">
        <v>1324</v>
      </c>
      <c r="H575" s="20"/>
      <c r="I575" s="17"/>
      <c r="J575" s="17"/>
      <c r="K575" s="17"/>
      <c r="L575" s="224"/>
      <c r="M575" s="531"/>
      <c r="N575" s="531"/>
      <c r="O575" s="531"/>
      <c r="P575" s="531"/>
      <c r="Q575" s="531"/>
      <c r="R575" s="531"/>
      <c r="S575" s="531"/>
      <c r="T575" s="531"/>
      <c r="U575" s="531"/>
      <c r="V575" s="531"/>
      <c r="W575" s="531"/>
      <c r="X575" s="531"/>
      <c r="Y575" s="531"/>
      <c r="Z575" s="531"/>
      <c r="AA575" s="531"/>
    </row>
    <row r="576" spans="1:27" s="457" customFormat="1" ht="13" customHeight="1">
      <c r="A576" s="17"/>
      <c r="B576" s="17"/>
      <c r="C576" s="234" t="s">
        <v>485</v>
      </c>
      <c r="D576" s="21">
        <f>INDEX(Tragwerk!R82:T82,1,MATCH(Eingabe!$C$4,Tragwerk!$B$14:$D$14))</f>
        <v>2.6551836094703507</v>
      </c>
      <c r="E576" s="19" t="s">
        <v>7</v>
      </c>
      <c r="F576" s="27"/>
      <c r="G576" s="527" t="s">
        <v>1324</v>
      </c>
      <c r="H576" s="20"/>
      <c r="I576" s="17"/>
      <c r="J576" s="17"/>
      <c r="K576" s="17"/>
      <c r="L576" s="224"/>
      <c r="M576" s="531"/>
      <c r="N576" s="531"/>
      <c r="O576" s="531"/>
      <c r="P576" s="531"/>
      <c r="Q576" s="531"/>
      <c r="R576" s="531"/>
      <c r="S576" s="531"/>
      <c r="T576" s="531"/>
      <c r="U576" s="531"/>
      <c r="V576" s="531"/>
      <c r="W576" s="531"/>
      <c r="X576" s="531"/>
      <c r="Y576" s="531"/>
      <c r="Z576" s="531"/>
      <c r="AA576" s="531"/>
    </row>
    <row r="577" spans="1:27" s="457" customFormat="1" ht="13" customHeight="1">
      <c r="A577" s="17"/>
      <c r="B577" s="17"/>
      <c r="C577" s="234" t="s">
        <v>488</v>
      </c>
      <c r="D577" s="21">
        <f>Tragwerk!R85</f>
        <v>1.2</v>
      </c>
      <c r="E577" s="19" t="s">
        <v>7</v>
      </c>
      <c r="F577" s="27"/>
      <c r="G577" s="527" t="s">
        <v>1324</v>
      </c>
      <c r="H577" s="20"/>
      <c r="I577" s="17"/>
      <c r="J577" s="17"/>
      <c r="K577" s="17"/>
      <c r="L577" s="224"/>
      <c r="M577" s="531"/>
      <c r="N577" s="531"/>
      <c r="O577" s="531"/>
      <c r="P577" s="531"/>
      <c r="Q577" s="531"/>
      <c r="R577" s="531"/>
      <c r="S577" s="531"/>
      <c r="T577" s="531"/>
      <c r="U577" s="531"/>
      <c r="V577" s="531"/>
      <c r="W577" s="531"/>
      <c r="X577" s="531"/>
      <c r="Y577" s="531"/>
      <c r="Z577" s="531"/>
      <c r="AA577" s="531"/>
    </row>
    <row r="578" spans="1:27" s="457" customFormat="1" ht="13" customHeight="1">
      <c r="A578" s="17"/>
      <c r="B578" s="17"/>
      <c r="C578" s="234" t="s">
        <v>489</v>
      </c>
      <c r="D578" s="21">
        <f>INDEX(Tragwerk!R86:T86,1,MATCH(Eingabe!$C$4,Tragwerk!$B$14:$D$14))</f>
        <v>212.88980825736712</v>
      </c>
      <c r="E578" s="237" t="s">
        <v>2</v>
      </c>
      <c r="F578" s="27"/>
      <c r="G578" s="527" t="s">
        <v>1324</v>
      </c>
      <c r="H578" s="20"/>
      <c r="I578" s="17"/>
      <c r="J578" s="17"/>
      <c r="K578" s="17"/>
      <c r="L578" s="224"/>
      <c r="M578" s="531"/>
      <c r="N578" s="531"/>
      <c r="O578" s="531"/>
      <c r="P578" s="531"/>
      <c r="Q578" s="531"/>
      <c r="R578" s="531"/>
      <c r="S578" s="531"/>
      <c r="T578" s="531"/>
      <c r="U578" s="531"/>
      <c r="V578" s="531"/>
      <c r="W578" s="531"/>
      <c r="X578" s="531"/>
      <c r="Y578" s="531"/>
      <c r="Z578" s="531"/>
      <c r="AA578" s="531"/>
    </row>
    <row r="579" spans="1:27" s="457" customFormat="1" ht="13" customHeight="1">
      <c r="A579" s="17"/>
      <c r="B579" s="17"/>
      <c r="C579" s="234" t="s">
        <v>12</v>
      </c>
      <c r="D579" s="21">
        <f>Tragwerk!R87</f>
        <v>1.2</v>
      </c>
      <c r="E579" s="19" t="s">
        <v>7</v>
      </c>
      <c r="F579" s="27"/>
      <c r="G579" s="527" t="s">
        <v>1324</v>
      </c>
      <c r="H579" s="20"/>
      <c r="I579" s="17"/>
      <c r="J579" s="17"/>
      <c r="K579" s="17"/>
      <c r="L579" s="224"/>
      <c r="M579" s="531"/>
      <c r="N579" s="531"/>
      <c r="O579" s="531"/>
      <c r="P579" s="531"/>
      <c r="Q579" s="531"/>
      <c r="R579" s="531"/>
      <c r="S579" s="531"/>
      <c r="T579" s="531"/>
      <c r="U579" s="531"/>
      <c r="V579" s="531"/>
      <c r="W579" s="531"/>
      <c r="X579" s="531"/>
      <c r="Y579" s="531"/>
      <c r="Z579" s="531"/>
      <c r="AA579" s="531"/>
    </row>
    <row r="580" spans="1:27" s="457" customFormat="1" ht="13" customHeight="1">
      <c r="A580" s="17"/>
      <c r="B580" s="17"/>
      <c r="C580" s="234" t="s">
        <v>507</v>
      </c>
      <c r="D580" s="21">
        <f>INDEX(Tragwerk!R88:T88,1,MATCH(Eingabe!$C$4,Tragwerk!$B$14:$D$14))</f>
        <v>177.40817354780594</v>
      </c>
      <c r="E580" s="237" t="s">
        <v>2</v>
      </c>
      <c r="F580" s="27"/>
      <c r="G580" s="527" t="s">
        <v>73</v>
      </c>
      <c r="H580" s="20"/>
      <c r="I580" s="17"/>
      <c r="J580" s="17"/>
      <c r="K580" s="17"/>
      <c r="L580" s="224"/>
      <c r="M580" s="531"/>
      <c r="N580" s="531"/>
      <c r="O580" s="531"/>
      <c r="P580" s="531"/>
      <c r="Q580" s="531"/>
      <c r="R580" s="531"/>
      <c r="S580" s="531"/>
      <c r="T580" s="531"/>
      <c r="U580" s="531"/>
      <c r="V580" s="531"/>
      <c r="W580" s="531"/>
      <c r="X580" s="531"/>
      <c r="Y580" s="531"/>
      <c r="Z580" s="531"/>
      <c r="AA580" s="531"/>
    </row>
    <row r="581" spans="1:27" s="457" customFormat="1" ht="13" customHeight="1">
      <c r="A581" s="17"/>
      <c r="B581" s="17"/>
      <c r="C581" s="527" t="s">
        <v>307</v>
      </c>
      <c r="D581" s="21">
        <f>Tragwerk!R91</f>
        <v>29.921271248249965</v>
      </c>
      <c r="E581" s="237" t="s">
        <v>2</v>
      </c>
      <c r="F581" s="27"/>
      <c r="G581" s="527" t="s">
        <v>75</v>
      </c>
      <c r="H581" s="20"/>
      <c r="I581" s="17"/>
      <c r="J581" s="17"/>
      <c r="K581" s="17"/>
      <c r="L581" s="224"/>
      <c r="M581" s="531"/>
      <c r="N581" s="531"/>
      <c r="O581" s="531"/>
      <c r="P581" s="531"/>
      <c r="Q581" s="531"/>
      <c r="R581" s="531"/>
      <c r="S581" s="531"/>
      <c r="T581" s="531"/>
      <c r="U581" s="531"/>
      <c r="V581" s="531"/>
      <c r="W581" s="531"/>
      <c r="X581" s="531"/>
      <c r="Y581" s="531"/>
      <c r="Z581" s="531"/>
      <c r="AA581" s="531"/>
    </row>
    <row r="582" spans="1:27" s="457" customFormat="1" ht="13" customHeight="1">
      <c r="A582" s="17"/>
      <c r="B582" s="17"/>
      <c r="C582" s="25" t="s">
        <v>508</v>
      </c>
      <c r="D582" s="26">
        <f>D581/D580</f>
        <v>0.16865779433881112</v>
      </c>
      <c r="E582" s="520" t="s">
        <v>7</v>
      </c>
      <c r="F582" s="27"/>
      <c r="G582" s="24" t="s">
        <v>46</v>
      </c>
      <c r="H582" s="20"/>
      <c r="I582" s="17"/>
      <c r="J582" s="17"/>
      <c r="K582" s="17"/>
      <c r="L582" s="224"/>
      <c r="M582" s="531"/>
      <c r="N582" s="531"/>
      <c r="O582" s="531"/>
      <c r="P582" s="531"/>
      <c r="Q582" s="531"/>
      <c r="R582" s="531"/>
      <c r="S582" s="531"/>
      <c r="T582" s="531"/>
      <c r="U582" s="531"/>
      <c r="V582" s="531"/>
      <c r="W582" s="531"/>
      <c r="X582" s="531"/>
      <c r="Y582" s="531"/>
      <c r="Z582" s="531"/>
      <c r="AA582" s="531"/>
    </row>
    <row r="583" spans="1:27" s="457" customFormat="1" ht="5.9" customHeight="1">
      <c r="A583" s="17"/>
      <c r="B583" s="17"/>
      <c r="C583" s="23"/>
      <c r="D583" s="18"/>
      <c r="E583" s="19"/>
      <c r="F583" s="17"/>
      <c r="G583" s="527"/>
      <c r="H583" s="20"/>
      <c r="I583" s="17"/>
      <c r="J583" s="17"/>
      <c r="K583" s="17"/>
      <c r="L583" s="224"/>
      <c r="M583" s="531"/>
      <c r="N583" s="531"/>
      <c r="O583" s="531"/>
      <c r="P583" s="531"/>
      <c r="Q583" s="531"/>
      <c r="R583" s="531"/>
      <c r="S583" s="531"/>
      <c r="T583" s="531"/>
      <c r="U583" s="531"/>
      <c r="V583" s="531"/>
      <c r="W583" s="531"/>
      <c r="X583" s="531"/>
      <c r="Y583" s="531"/>
      <c r="Z583" s="531"/>
      <c r="AA583" s="531"/>
    </row>
    <row r="584" spans="1:27" s="457" customFormat="1" ht="14.15" customHeight="1">
      <c r="A584" s="1032" t="s">
        <v>518</v>
      </c>
      <c r="B584" s="1032"/>
      <c r="C584" s="1032"/>
      <c r="D584" s="1032"/>
      <c r="E584" s="1032"/>
      <c r="F584" s="1032"/>
      <c r="G584" s="1032"/>
      <c r="H584" s="1032"/>
      <c r="I584" s="1032"/>
      <c r="J584" s="1032"/>
      <c r="K584" s="520"/>
      <c r="L584" s="224"/>
      <c r="M584" s="531"/>
      <c r="N584" s="531"/>
      <c r="O584" s="531"/>
      <c r="P584" s="531"/>
      <c r="Q584" s="531"/>
      <c r="R584" s="531"/>
      <c r="S584" s="531"/>
      <c r="T584" s="531"/>
      <c r="U584" s="531"/>
      <c r="V584" s="531"/>
      <c r="W584" s="531"/>
      <c r="X584" s="531"/>
      <c r="Y584" s="531"/>
      <c r="Z584" s="531"/>
      <c r="AA584" s="531"/>
    </row>
    <row r="585" spans="1:27" s="457" customFormat="1" ht="5.9" customHeight="1">
      <c r="A585" s="17"/>
      <c r="B585" s="17"/>
      <c r="C585" s="23"/>
      <c r="D585" s="18"/>
      <c r="E585" s="19"/>
      <c r="F585" s="17"/>
      <c r="G585" s="527"/>
      <c r="H585" s="20"/>
      <c r="I585" s="17"/>
      <c r="J585" s="17"/>
      <c r="K585" s="17"/>
      <c r="L585" s="224"/>
      <c r="M585" s="531"/>
      <c r="N585" s="531"/>
      <c r="O585" s="531"/>
      <c r="P585" s="531"/>
      <c r="Q585" s="531"/>
      <c r="R585" s="531"/>
      <c r="S585" s="531"/>
      <c r="T585" s="531"/>
      <c r="U585" s="531"/>
      <c r="V585" s="531"/>
      <c r="W585" s="531"/>
      <c r="X585" s="531"/>
      <c r="Y585" s="531"/>
      <c r="Z585" s="531"/>
      <c r="AA585" s="531"/>
    </row>
    <row r="586" spans="1:27" s="457" customFormat="1" ht="13" customHeight="1">
      <c r="A586" s="17"/>
      <c r="B586" s="17"/>
      <c r="C586" s="23" t="s">
        <v>85</v>
      </c>
      <c r="D586" s="21">
        <f>INDEX(Tragwerk!R96:T96,1,MATCH(Eingabe!$C$4,Tragwerk!$R$14:$T$14))</f>
        <v>6.8137314608427799E-2</v>
      </c>
      <c r="E586" s="19" t="s">
        <v>7</v>
      </c>
      <c r="F586" s="17"/>
      <c r="G586" s="527" t="s">
        <v>515</v>
      </c>
      <c r="H586" s="20"/>
      <c r="I586" s="17"/>
      <c r="J586" s="17"/>
      <c r="K586" s="17"/>
      <c r="L586" s="224"/>
      <c r="M586" s="531"/>
      <c r="N586" s="531"/>
      <c r="O586" s="531"/>
      <c r="P586" s="531"/>
      <c r="Q586" s="531"/>
      <c r="R586" s="531"/>
      <c r="S586" s="531"/>
      <c r="T586" s="531"/>
      <c r="U586" s="531"/>
      <c r="V586" s="531"/>
      <c r="W586" s="531"/>
      <c r="X586" s="531"/>
      <c r="Y586" s="531"/>
      <c r="Z586" s="531"/>
      <c r="AA586" s="531"/>
    </row>
    <row r="587" spans="1:27" s="457" customFormat="1" ht="13" customHeight="1">
      <c r="A587" s="17"/>
      <c r="B587" s="17"/>
      <c r="C587" s="23" t="s">
        <v>87</v>
      </c>
      <c r="D587" s="21">
        <f>INDEX(Tragwerk!R97:T97,1,MATCH(Eingabe!$C$4,Tragwerk!$R$14:$T$14))</f>
        <v>0.97738453525303992</v>
      </c>
      <c r="E587" s="19" t="s">
        <v>7</v>
      </c>
      <c r="F587" s="17"/>
      <c r="G587" s="527" t="s">
        <v>519</v>
      </c>
      <c r="H587" s="20"/>
      <c r="I587" s="17"/>
      <c r="J587" s="17"/>
      <c r="K587" s="17"/>
      <c r="L587" s="224"/>
      <c r="M587" s="531"/>
      <c r="N587" s="531"/>
      <c r="O587" s="531"/>
      <c r="P587" s="531"/>
      <c r="Q587" s="531"/>
      <c r="R587" s="531"/>
      <c r="S587" s="531"/>
      <c r="T587" s="531"/>
      <c r="U587" s="531"/>
      <c r="V587" s="531"/>
      <c r="W587" s="531"/>
      <c r="X587" s="531"/>
      <c r="Y587" s="531"/>
      <c r="Z587" s="531"/>
      <c r="AA587" s="531"/>
    </row>
    <row r="588" spans="1:27" s="457" customFormat="1" ht="13" hidden="1" customHeight="1">
      <c r="A588" s="17"/>
      <c r="B588" s="17"/>
      <c r="C588" s="23"/>
      <c r="D588" s="21"/>
      <c r="E588" s="19"/>
      <c r="F588" s="17"/>
      <c r="G588" s="17"/>
      <c r="H588" s="20"/>
      <c r="I588" s="17"/>
      <c r="J588" s="17"/>
      <c r="K588" s="17"/>
      <c r="L588" s="224"/>
      <c r="M588" s="531"/>
      <c r="N588" s="531"/>
      <c r="O588" s="531"/>
      <c r="P588" s="531"/>
      <c r="Q588" s="531"/>
      <c r="R588" s="531"/>
      <c r="S588" s="531"/>
      <c r="T588" s="531"/>
      <c r="U588" s="531"/>
      <c r="V588" s="531"/>
      <c r="W588" s="531"/>
      <c r="X588" s="531"/>
      <c r="Y588" s="531"/>
      <c r="Z588" s="531"/>
      <c r="AA588" s="531"/>
    </row>
    <row r="589" spans="1:27" s="1" customFormat="1" ht="13" customHeight="1">
      <c r="A589" s="17"/>
      <c r="B589" s="17"/>
      <c r="C589" s="25" t="s">
        <v>549</v>
      </c>
      <c r="D589" s="26">
        <f>INDEX(Tragwerk!R99:T99,1,MATCH(Eingabe!$C$4,Tragwerk!$R$14:$T$14))</f>
        <v>0.87126820821788986</v>
      </c>
      <c r="E589" s="520" t="s">
        <v>7</v>
      </c>
      <c r="F589" s="27"/>
      <c r="G589" s="27" t="s">
        <v>136</v>
      </c>
      <c r="H589" s="20"/>
      <c r="I589" s="17"/>
      <c r="J589" s="17"/>
      <c r="K589" s="17"/>
      <c r="L589" s="224"/>
      <c r="M589" s="531"/>
      <c r="N589" s="531"/>
      <c r="O589" s="531"/>
      <c r="P589" s="531"/>
      <c r="Q589" s="531"/>
      <c r="R589" s="531"/>
      <c r="S589" s="531"/>
      <c r="T589" s="531"/>
      <c r="U589" s="531"/>
      <c r="V589" s="531"/>
      <c r="W589" s="531"/>
      <c r="X589" s="531"/>
      <c r="Y589" s="531"/>
      <c r="Z589" s="531"/>
      <c r="AA589" s="531"/>
    </row>
    <row r="590" spans="1:27" s="1" customFormat="1" ht="5.9" customHeight="1">
      <c r="A590" s="17"/>
      <c r="B590" s="17"/>
      <c r="C590" s="25"/>
      <c r="D590" s="26"/>
      <c r="E590" s="520"/>
      <c r="F590" s="27"/>
      <c r="G590" s="27"/>
      <c r="H590" s="20"/>
      <c r="I590" s="17"/>
      <c r="J590" s="17"/>
      <c r="K590" s="17"/>
      <c r="L590" s="224"/>
      <c r="M590" s="531"/>
      <c r="N590" s="531"/>
      <c r="O590" s="531"/>
      <c r="P590" s="531"/>
      <c r="Q590" s="531"/>
      <c r="R590" s="531"/>
      <c r="S590" s="531"/>
      <c r="T590" s="531"/>
      <c r="U590" s="531"/>
      <c r="V590" s="531"/>
      <c r="W590" s="531"/>
      <c r="X590" s="531"/>
      <c r="Y590" s="531"/>
      <c r="Z590" s="531"/>
      <c r="AA590" s="531"/>
    </row>
    <row r="591" spans="1:27" s="1" customFormat="1">
      <c r="A591" s="1033" t="s">
        <v>301</v>
      </c>
      <c r="B591" s="1033"/>
      <c r="C591" s="1033"/>
      <c r="D591" s="1033"/>
      <c r="E591" s="1033"/>
      <c r="F591" s="1033"/>
      <c r="G591" s="1033"/>
      <c r="H591" s="1033"/>
      <c r="I591" s="1033"/>
      <c r="J591" s="1033"/>
      <c r="K591" s="502"/>
      <c r="L591" s="224"/>
      <c r="M591" s="531"/>
      <c r="N591" s="531"/>
      <c r="O591" s="531"/>
      <c r="P591" s="531"/>
      <c r="Q591" s="531"/>
      <c r="R591" s="531"/>
      <c r="S591" s="531"/>
      <c r="T591" s="531"/>
      <c r="U591" s="531"/>
      <c r="V591" s="531"/>
      <c r="W591" s="531"/>
      <c r="X591" s="531"/>
      <c r="Y591" s="531"/>
      <c r="Z591" s="531"/>
      <c r="AA591" s="531"/>
    </row>
    <row r="592" spans="1:27" s="1" customFormat="1" ht="5.9" customHeight="1">
      <c r="A592" s="228"/>
      <c r="B592" s="242"/>
      <c r="C592" s="242"/>
      <c r="D592" s="242"/>
      <c r="E592" s="242"/>
      <c r="F592" s="242"/>
      <c r="G592" s="242"/>
      <c r="H592" s="242"/>
      <c r="I592" s="242"/>
      <c r="J592" s="242"/>
      <c r="K592" s="228"/>
      <c r="L592" s="224"/>
      <c r="M592" s="531"/>
      <c r="N592" s="531"/>
      <c r="O592" s="531"/>
      <c r="P592" s="531"/>
      <c r="Q592" s="531"/>
      <c r="R592" s="531"/>
      <c r="S592" s="531"/>
      <c r="T592" s="531"/>
      <c r="U592" s="531"/>
      <c r="V592" s="531"/>
      <c r="W592" s="531"/>
      <c r="X592" s="531"/>
      <c r="Y592" s="531"/>
      <c r="Z592" s="531"/>
      <c r="AA592" s="531"/>
    </row>
    <row r="593" spans="1:27" s="1" customFormat="1">
      <c r="A593" s="1032" t="s">
        <v>514</v>
      </c>
      <c r="B593" s="1032"/>
      <c r="C593" s="1032"/>
      <c r="D593" s="1032"/>
      <c r="E593" s="1032"/>
      <c r="F593" s="1032"/>
      <c r="G593" s="1032"/>
      <c r="H593" s="1032"/>
      <c r="I593" s="1032"/>
      <c r="J593" s="1032"/>
      <c r="K593" s="520"/>
      <c r="L593" s="224"/>
      <c r="M593" s="531"/>
      <c r="N593" s="531"/>
      <c r="O593" s="531"/>
      <c r="P593" s="531"/>
      <c r="Q593" s="531"/>
      <c r="R593" s="531"/>
      <c r="S593" s="531"/>
      <c r="T593" s="531"/>
      <c r="U593" s="531"/>
      <c r="V593" s="531"/>
      <c r="W593" s="531"/>
      <c r="X593" s="531"/>
      <c r="Y593" s="531"/>
      <c r="Z593" s="531"/>
      <c r="AA593" s="531"/>
    </row>
    <row r="594" spans="1:27" s="1" customFormat="1">
      <c r="A594" s="17"/>
      <c r="B594" s="14" t="s">
        <v>1</v>
      </c>
      <c r="C594" s="232"/>
      <c r="D594" s="232"/>
      <c r="E594" s="232"/>
      <c r="F594" s="17"/>
      <c r="G594" s="527"/>
      <c r="H594" s="527"/>
      <c r="I594" s="527"/>
      <c r="J594" s="527"/>
      <c r="K594" s="17"/>
      <c r="L594" s="224"/>
      <c r="M594" s="531"/>
      <c r="N594" s="531"/>
      <c r="O594" s="531"/>
      <c r="P594" s="531"/>
      <c r="Q594" s="531"/>
      <c r="R594" s="531"/>
      <c r="S594" s="531"/>
      <c r="T594" s="531"/>
      <c r="U594" s="531"/>
      <c r="V594" s="531"/>
      <c r="W594" s="531"/>
      <c r="X594" s="531"/>
      <c r="Y594" s="531"/>
      <c r="Z594" s="531"/>
      <c r="AA594" s="531"/>
    </row>
    <row r="595" spans="1:27" s="1" customFormat="1" ht="13" customHeight="1">
      <c r="A595" s="17"/>
      <c r="B595" s="17"/>
      <c r="C595" s="527" t="s">
        <v>4</v>
      </c>
      <c r="D595" s="21">
        <f>INDEX(Kappe!Q17:S17,1,MATCH(Eingabe!$C$4,Kappe!$Q$12:$S$12))</f>
        <v>247</v>
      </c>
      <c r="E595" s="19" t="s">
        <v>2</v>
      </c>
      <c r="F595" s="17"/>
      <c r="G595" s="527" t="s">
        <v>361</v>
      </c>
      <c r="H595" s="527"/>
      <c r="I595" s="527"/>
      <c r="J595" s="527"/>
      <c r="K595" s="17"/>
      <c r="L595" s="224"/>
      <c r="M595" s="531"/>
      <c r="N595" s="531"/>
      <c r="O595" s="531"/>
      <c r="P595" s="531"/>
      <c r="Q595" s="531"/>
      <c r="R595" s="531"/>
      <c r="S595" s="531"/>
      <c r="T595" s="531"/>
      <c r="U595" s="531"/>
      <c r="V595" s="531"/>
      <c r="W595" s="531"/>
      <c r="X595" s="531"/>
      <c r="Y595" s="531"/>
      <c r="Z595" s="531"/>
      <c r="AA595" s="531"/>
    </row>
    <row r="596" spans="1:27" s="1" customFormat="1" ht="13" customHeight="1">
      <c r="A596" s="17"/>
      <c r="B596" s="17"/>
      <c r="C596" s="17" t="s">
        <v>3</v>
      </c>
      <c r="D596" s="21">
        <f>Kappe!$Q$18</f>
        <v>1.87</v>
      </c>
      <c r="E596" s="19" t="s">
        <v>7</v>
      </c>
      <c r="F596" s="17"/>
      <c r="G596" s="527" t="s">
        <v>359</v>
      </c>
      <c r="H596" s="527"/>
      <c r="I596" s="527"/>
      <c r="J596" s="527"/>
      <c r="K596" s="17"/>
      <c r="L596" s="224"/>
      <c r="M596" s="531"/>
      <c r="N596" s="531"/>
      <c r="O596" s="531"/>
      <c r="P596" s="531"/>
      <c r="Q596" s="531"/>
      <c r="R596" s="531"/>
      <c r="S596" s="531"/>
      <c r="T596" s="531"/>
      <c r="U596" s="531"/>
      <c r="V596" s="531"/>
      <c r="W596" s="531"/>
      <c r="X596" s="531"/>
      <c r="Y596" s="531"/>
      <c r="Z596" s="531"/>
      <c r="AA596" s="531"/>
    </row>
    <row r="597" spans="1:27" s="1" customFormat="1" ht="13" customHeight="1">
      <c r="A597" s="17"/>
      <c r="B597" s="17"/>
      <c r="C597" s="527" t="s">
        <v>64</v>
      </c>
      <c r="D597" s="21">
        <f>INDEX(Kappe!Q19:S19,1,MATCH(Eingabe!$C$4,Kappe!$Q$12:$S$12))</f>
        <v>132.08556149732618</v>
      </c>
      <c r="E597" s="19" t="s">
        <v>2</v>
      </c>
      <c r="F597" s="17"/>
      <c r="G597" s="527" t="s">
        <v>73</v>
      </c>
      <c r="H597" s="527"/>
      <c r="I597" s="527"/>
      <c r="J597" s="527"/>
      <c r="K597" s="17"/>
      <c r="L597" s="224"/>
      <c r="M597" s="531"/>
      <c r="N597" s="531"/>
      <c r="O597" s="531"/>
      <c r="P597" s="531"/>
      <c r="Q597" s="531"/>
      <c r="R597" s="531"/>
      <c r="S597" s="531"/>
      <c r="T597" s="531"/>
      <c r="U597" s="531"/>
      <c r="V597" s="531"/>
      <c r="W597" s="531"/>
      <c r="X597" s="531"/>
      <c r="Y597" s="531"/>
      <c r="Z597" s="531"/>
      <c r="AA597" s="531"/>
    </row>
    <row r="598" spans="1:27" s="1" customFormat="1" ht="13" customHeight="1">
      <c r="A598" s="17"/>
      <c r="B598" s="17"/>
      <c r="C598" s="527" t="s">
        <v>306</v>
      </c>
      <c r="D598" s="21">
        <f>Kappe!$Q$53</f>
        <v>3.6775975449364311</v>
      </c>
      <c r="E598" s="19" t="s">
        <v>2</v>
      </c>
      <c r="F598" s="17"/>
      <c r="G598" s="527" t="s">
        <v>75</v>
      </c>
      <c r="H598" s="527"/>
      <c r="I598" s="527"/>
      <c r="J598" s="527"/>
      <c r="K598" s="17"/>
      <c r="L598" s="224"/>
      <c r="M598" s="531"/>
      <c r="N598" s="531"/>
      <c r="O598" s="531"/>
      <c r="P598" s="531"/>
      <c r="Q598" s="531"/>
      <c r="R598" s="531"/>
      <c r="S598" s="531"/>
      <c r="T598" s="531"/>
      <c r="U598" s="531"/>
      <c r="V598" s="531"/>
      <c r="W598" s="531"/>
      <c r="X598" s="531"/>
      <c r="Y598" s="531"/>
      <c r="Z598" s="531"/>
      <c r="AA598" s="531"/>
    </row>
    <row r="599" spans="1:27" s="1" customFormat="1" ht="13" customHeight="1">
      <c r="A599" s="17"/>
      <c r="B599" s="17"/>
      <c r="C599" s="25" t="s">
        <v>88</v>
      </c>
      <c r="D599" s="26">
        <f>D598/D597</f>
        <v>2.7842540117534929E-2</v>
      </c>
      <c r="E599" s="520" t="s">
        <v>7</v>
      </c>
      <c r="F599" s="27"/>
      <c r="G599" s="24" t="s">
        <v>46</v>
      </c>
      <c r="H599" s="527"/>
      <c r="I599" s="527"/>
      <c r="J599" s="527"/>
      <c r="K599" s="17"/>
      <c r="L599" s="224"/>
      <c r="M599" s="531"/>
      <c r="N599" s="531"/>
      <c r="O599" s="531"/>
      <c r="P599" s="531"/>
      <c r="Q599" s="531"/>
      <c r="R599" s="531"/>
      <c r="S599" s="531"/>
      <c r="T599" s="531"/>
      <c r="U599" s="531"/>
      <c r="V599" s="531"/>
      <c r="W599" s="531"/>
      <c r="X599" s="531"/>
      <c r="Y599" s="531"/>
      <c r="Z599" s="531"/>
      <c r="AA599" s="531"/>
    </row>
    <row r="600" spans="1:27" s="1" customFormat="1" ht="5.9" customHeight="1">
      <c r="A600" s="228"/>
      <c r="B600" s="240"/>
      <c r="C600" s="240"/>
      <c r="D600" s="240"/>
      <c r="E600" s="240"/>
      <c r="F600" s="240"/>
      <c r="G600" s="240"/>
      <c r="H600" s="240"/>
      <c r="I600" s="240"/>
      <c r="J600" s="240"/>
      <c r="K600" s="228"/>
      <c r="L600" s="224"/>
      <c r="M600" s="531"/>
      <c r="N600" s="531"/>
      <c r="O600" s="531"/>
      <c r="P600" s="531"/>
      <c r="Q600" s="531"/>
      <c r="R600" s="531"/>
      <c r="S600" s="531"/>
      <c r="T600" s="531"/>
      <c r="U600" s="531"/>
      <c r="V600" s="531"/>
      <c r="W600" s="531"/>
      <c r="X600" s="531"/>
      <c r="Y600" s="531"/>
      <c r="Z600" s="531"/>
      <c r="AA600" s="531"/>
    </row>
    <row r="601" spans="1:27" s="1" customFormat="1">
      <c r="A601" s="224"/>
      <c r="B601" s="233" t="s">
        <v>5</v>
      </c>
      <c r="C601" s="19"/>
      <c r="D601" s="19"/>
      <c r="E601" s="17"/>
      <c r="F601" s="17"/>
      <c r="G601" s="527"/>
      <c r="H601" s="527"/>
      <c r="I601" s="527"/>
      <c r="J601" s="527"/>
      <c r="K601" s="224"/>
      <c r="L601" s="224"/>
      <c r="M601" s="531"/>
      <c r="N601" s="531"/>
      <c r="O601" s="531"/>
      <c r="P601" s="531"/>
      <c r="Q601" s="531"/>
      <c r="R601" s="531"/>
      <c r="S601" s="531"/>
      <c r="T601" s="531"/>
      <c r="U601" s="531"/>
      <c r="V601" s="531"/>
      <c r="W601" s="531"/>
      <c r="X601" s="531"/>
      <c r="Y601" s="531"/>
      <c r="Z601" s="531"/>
      <c r="AA601" s="531"/>
    </row>
    <row r="602" spans="1:27" s="1" customFormat="1" ht="13" customHeight="1">
      <c r="A602" s="224"/>
      <c r="B602" s="233"/>
      <c r="C602" s="234" t="s">
        <v>115</v>
      </c>
      <c r="D602" s="18">
        <f>INDEX(Kappe!Q21:S21,1,MATCH(Eingabe!$C$4,Kappe!$Q$12:$S$12))</f>
        <v>565</v>
      </c>
      <c r="E602" s="19" t="s">
        <v>16</v>
      </c>
      <c r="F602" s="17"/>
      <c r="G602" s="528" t="s">
        <v>137</v>
      </c>
      <c r="H602" s="527"/>
      <c r="I602" s="527"/>
      <c r="J602" s="527"/>
      <c r="K602" s="224"/>
      <c r="L602" s="224"/>
      <c r="M602" s="531"/>
      <c r="N602" s="531"/>
      <c r="O602" s="531"/>
      <c r="P602" s="531"/>
      <c r="Q602" s="531"/>
      <c r="R602" s="531"/>
      <c r="S602" s="531"/>
      <c r="T602" s="531"/>
      <c r="U602" s="531"/>
      <c r="V602" s="531"/>
      <c r="W602" s="531"/>
      <c r="X602" s="531"/>
      <c r="Y602" s="531"/>
      <c r="Z602" s="531"/>
      <c r="AA602" s="531"/>
    </row>
    <row r="603" spans="1:27" s="650" customFormat="1" ht="13" customHeight="1">
      <c r="A603" s="224"/>
      <c r="B603" s="233"/>
      <c r="C603" s="667" t="s">
        <v>1152</v>
      </c>
      <c r="D603" s="669">
        <f>Eingabe!N3</f>
        <v>1</v>
      </c>
      <c r="E603" s="19" t="s">
        <v>7</v>
      </c>
      <c r="F603" s="217"/>
      <c r="G603" s="527" t="s">
        <v>1151</v>
      </c>
      <c r="H603" s="527"/>
      <c r="I603" s="527"/>
      <c r="J603" s="527"/>
      <c r="K603" s="224"/>
      <c r="L603" s="224"/>
    </row>
    <row r="604" spans="1:27" s="1" customFormat="1" ht="13" customHeight="1">
      <c r="A604" s="224"/>
      <c r="B604" s="233"/>
      <c r="C604" s="234" t="s">
        <v>6</v>
      </c>
      <c r="D604" s="21">
        <f>INDEX(Kappe!Q22:S22,1,MATCH(Eingabe!$C$4,Kappe!$Q$12:$S$12))</f>
        <v>101.7</v>
      </c>
      <c r="E604" s="19" t="s">
        <v>2</v>
      </c>
      <c r="F604" s="17"/>
      <c r="G604" s="527" t="s">
        <v>1324</v>
      </c>
      <c r="H604" s="527"/>
      <c r="I604" s="527"/>
      <c r="J604" s="527"/>
      <c r="K604" s="224"/>
      <c r="L604" s="224"/>
      <c r="M604" s="531"/>
      <c r="N604" s="531"/>
      <c r="O604" s="531"/>
      <c r="P604" s="531"/>
      <c r="Q604" s="531"/>
      <c r="R604" s="531"/>
      <c r="S604" s="531"/>
      <c r="T604" s="531"/>
      <c r="U604" s="531"/>
      <c r="V604" s="531"/>
      <c r="W604" s="531"/>
      <c r="X604" s="531"/>
      <c r="Y604" s="531"/>
      <c r="Z604" s="531"/>
      <c r="AA604" s="531"/>
    </row>
    <row r="605" spans="1:27" s="1" customFormat="1" ht="13" customHeight="1">
      <c r="A605" s="224"/>
      <c r="B605" s="233"/>
      <c r="C605" s="234" t="s">
        <v>108</v>
      </c>
      <c r="D605" s="18">
        <f>Kappe!Q23</f>
        <v>1.2</v>
      </c>
      <c r="E605" s="19" t="s">
        <v>7</v>
      </c>
      <c r="F605" s="17"/>
      <c r="G605" s="527" t="s">
        <v>1324</v>
      </c>
      <c r="H605" s="527"/>
      <c r="I605" s="527"/>
      <c r="J605" s="527"/>
      <c r="K605" s="224"/>
      <c r="L605" s="224"/>
      <c r="M605" s="531"/>
      <c r="N605" s="531"/>
      <c r="O605" s="531"/>
      <c r="P605" s="531"/>
      <c r="Q605" s="531"/>
      <c r="R605" s="531"/>
      <c r="S605" s="531"/>
      <c r="T605" s="531"/>
      <c r="U605" s="531"/>
      <c r="V605" s="531"/>
      <c r="W605" s="531"/>
      <c r="X605" s="531"/>
      <c r="Y605" s="531"/>
      <c r="Z605" s="531"/>
      <c r="AA605" s="531"/>
    </row>
    <row r="606" spans="1:27" s="1" customFormat="1" ht="13" customHeight="1">
      <c r="A606" s="224"/>
      <c r="B606" s="233"/>
      <c r="C606" s="234" t="s">
        <v>123</v>
      </c>
      <c r="D606" s="21">
        <f>INDEX(Kappe!Q24:S24,1,MATCH(Eingabe!$C$4,Kappe!$Q$12:$S$12))</f>
        <v>84.75</v>
      </c>
      <c r="E606" s="19" t="s">
        <v>2</v>
      </c>
      <c r="F606" s="17"/>
      <c r="G606" s="527" t="s">
        <v>73</v>
      </c>
      <c r="H606" s="527"/>
      <c r="I606" s="527"/>
      <c r="J606" s="527"/>
      <c r="K606" s="224"/>
      <c r="L606" s="224"/>
      <c r="M606" s="531"/>
      <c r="N606" s="531"/>
      <c r="O606" s="531"/>
      <c r="P606" s="531"/>
      <c r="Q606" s="531"/>
      <c r="R606" s="531"/>
      <c r="S606" s="531"/>
      <c r="T606" s="531"/>
      <c r="U606" s="531"/>
      <c r="V606" s="531"/>
      <c r="W606" s="531"/>
      <c r="X606" s="531"/>
      <c r="Y606" s="531"/>
      <c r="Z606" s="531"/>
      <c r="AA606" s="531"/>
    </row>
    <row r="607" spans="1:27" s="1" customFormat="1" ht="13" customHeight="1">
      <c r="A607" s="224"/>
      <c r="B607" s="233"/>
      <c r="C607" s="527" t="s">
        <v>306</v>
      </c>
      <c r="D607" s="21">
        <f>Kappe!$Q$53</f>
        <v>3.6775975449364311</v>
      </c>
      <c r="E607" s="19" t="s">
        <v>2</v>
      </c>
      <c r="F607" s="17"/>
      <c r="G607" s="527" t="s">
        <v>75</v>
      </c>
      <c r="H607" s="527"/>
      <c r="I607" s="527"/>
      <c r="J607" s="527"/>
      <c r="K607" s="224"/>
      <c r="L607" s="224"/>
      <c r="M607" s="531"/>
      <c r="N607" s="531"/>
      <c r="O607" s="531"/>
      <c r="P607" s="531"/>
      <c r="Q607" s="531"/>
      <c r="R607" s="531"/>
      <c r="S607" s="531"/>
      <c r="T607" s="531"/>
      <c r="U607" s="531"/>
      <c r="V607" s="531"/>
      <c r="W607" s="531"/>
      <c r="X607" s="531"/>
      <c r="Y607" s="531"/>
      <c r="Z607" s="531"/>
      <c r="AA607" s="531"/>
    </row>
    <row r="608" spans="1:27" s="1" customFormat="1" ht="13" customHeight="1">
      <c r="A608" s="224"/>
      <c r="B608" s="233"/>
      <c r="C608" s="25" t="s">
        <v>122</v>
      </c>
      <c r="D608" s="26">
        <f>D607/D606</f>
        <v>4.3393481356182075E-2</v>
      </c>
      <c r="E608" s="520" t="s">
        <v>7</v>
      </c>
      <c r="F608" s="27"/>
      <c r="G608" s="24" t="s">
        <v>46</v>
      </c>
      <c r="H608" s="527"/>
      <c r="I608" s="527"/>
      <c r="J608" s="527"/>
      <c r="K608" s="224"/>
      <c r="L608" s="224"/>
      <c r="M608" s="531"/>
      <c r="N608" s="531"/>
      <c r="O608" s="531"/>
      <c r="P608" s="531"/>
      <c r="Q608" s="531"/>
      <c r="R608" s="531"/>
      <c r="S608" s="531"/>
      <c r="T608" s="531"/>
      <c r="U608" s="531"/>
      <c r="V608" s="531"/>
      <c r="W608" s="531"/>
      <c r="X608" s="531"/>
      <c r="Y608" s="531"/>
      <c r="Z608" s="531"/>
      <c r="AA608" s="531"/>
    </row>
    <row r="609" spans="1:27" s="1" customFormat="1" ht="5.9" customHeight="1">
      <c r="A609" s="228"/>
      <c r="B609" s="242"/>
      <c r="C609" s="242"/>
      <c r="D609" s="242"/>
      <c r="E609" s="242"/>
      <c r="F609" s="242"/>
      <c r="G609" s="242"/>
      <c r="H609" s="242"/>
      <c r="I609" s="242"/>
      <c r="J609" s="242"/>
      <c r="K609" s="228"/>
      <c r="L609" s="224"/>
      <c r="M609" s="531"/>
      <c r="N609" s="531"/>
      <c r="O609" s="531"/>
      <c r="P609" s="531"/>
      <c r="Q609" s="531"/>
      <c r="R609" s="531"/>
      <c r="S609" s="531"/>
      <c r="T609" s="531"/>
      <c r="U609" s="531"/>
      <c r="V609" s="531"/>
      <c r="W609" s="531"/>
      <c r="X609" s="531"/>
      <c r="Y609" s="531"/>
      <c r="Z609" s="531"/>
      <c r="AA609" s="531"/>
    </row>
    <row r="610" spans="1:27" s="1" customFormat="1">
      <c r="A610" s="224"/>
      <c r="B610" s="233" t="s">
        <v>8</v>
      </c>
      <c r="C610" s="19"/>
      <c r="D610" s="19"/>
      <c r="E610" s="17"/>
      <c r="F610" s="17"/>
      <c r="G610" s="527"/>
      <c r="H610" s="527"/>
      <c r="I610" s="527"/>
      <c r="J610" s="225"/>
      <c r="K610" s="224"/>
      <c r="L610" s="224"/>
      <c r="M610" s="531"/>
      <c r="N610" s="531"/>
      <c r="O610" s="531"/>
      <c r="P610" s="531"/>
      <c r="Q610" s="531"/>
      <c r="R610" s="531"/>
      <c r="S610" s="531"/>
      <c r="T610" s="531"/>
      <c r="U610" s="531"/>
      <c r="V610" s="531"/>
      <c r="W610" s="531"/>
      <c r="X610" s="531"/>
      <c r="Y610" s="531"/>
      <c r="Z610" s="531"/>
      <c r="AA610" s="531"/>
    </row>
    <row r="611" spans="1:27" s="1" customFormat="1" ht="13" customHeight="1">
      <c r="A611" s="224"/>
      <c r="B611" s="17"/>
      <c r="C611" s="527" t="s">
        <v>78</v>
      </c>
      <c r="D611" s="21">
        <f>INDEX(Kappe!Q27:S27,1,MATCH(Eingabe!$C$4,Kappe!$Q$12:$S$12))</f>
        <v>30.846077222233625</v>
      </c>
      <c r="E611" s="19" t="s">
        <v>2</v>
      </c>
      <c r="F611" s="17"/>
      <c r="G611" s="527" t="s">
        <v>1324</v>
      </c>
      <c r="H611" s="527"/>
      <c r="I611" s="527"/>
      <c r="J611" s="225"/>
      <c r="K611" s="224"/>
      <c r="L611" s="224"/>
      <c r="M611" s="531"/>
      <c r="N611" s="531"/>
      <c r="O611" s="531"/>
      <c r="P611" s="531"/>
      <c r="Q611" s="531"/>
      <c r="R611" s="531"/>
      <c r="S611" s="531"/>
      <c r="T611" s="531"/>
      <c r="U611" s="531"/>
      <c r="V611" s="531"/>
      <c r="W611" s="531"/>
      <c r="X611" s="531"/>
      <c r="Y611" s="531"/>
      <c r="Z611" s="531"/>
      <c r="AA611" s="531"/>
    </row>
    <row r="612" spans="1:27" s="1" customFormat="1" ht="13" customHeight="1">
      <c r="A612" s="224"/>
      <c r="B612" s="17"/>
      <c r="C612" s="527" t="s">
        <v>79</v>
      </c>
      <c r="D612" s="20">
        <f>INDEX(Kappe!Q28:S28,1,MATCH(Eingabe!$C$4,Kappe!$Q$12:$S$12))</f>
        <v>51984</v>
      </c>
      <c r="E612" s="19" t="s">
        <v>16</v>
      </c>
      <c r="F612" s="17"/>
      <c r="G612" s="527" t="s">
        <v>1324</v>
      </c>
      <c r="H612" s="527"/>
      <c r="I612" s="527"/>
      <c r="J612" s="225"/>
      <c r="K612" s="224"/>
      <c r="L612" s="224"/>
      <c r="M612" s="531"/>
      <c r="N612" s="531"/>
      <c r="O612" s="531"/>
      <c r="P612" s="531"/>
      <c r="Q612" s="531"/>
      <c r="R612" s="531"/>
      <c r="S612" s="531"/>
      <c r="T612" s="531"/>
      <c r="U612" s="531"/>
      <c r="V612" s="531"/>
      <c r="W612" s="531"/>
      <c r="X612" s="531"/>
      <c r="Y612" s="531"/>
      <c r="Z612" s="531"/>
      <c r="AA612" s="531"/>
    </row>
    <row r="613" spans="1:27" s="1" customFormat="1" ht="13" customHeight="1">
      <c r="A613" s="224"/>
      <c r="B613" s="17"/>
      <c r="C613" s="527" t="s">
        <v>80</v>
      </c>
      <c r="D613" s="20">
        <f>INDEX(Kappe!Q29:S29,1,MATCH(Eingabe!$C$4,Kappe!$Q$12:$S$12))</f>
        <v>69168</v>
      </c>
      <c r="E613" s="19" t="s">
        <v>16</v>
      </c>
      <c r="F613" s="17"/>
      <c r="G613" s="527" t="s">
        <v>1324</v>
      </c>
      <c r="H613" s="527"/>
      <c r="I613" s="527"/>
      <c r="J613" s="225"/>
      <c r="K613" s="224"/>
      <c r="L613" s="224"/>
      <c r="M613" s="531"/>
      <c r="N613" s="531"/>
      <c r="O613" s="531"/>
      <c r="P613" s="531"/>
      <c r="Q613" s="531"/>
      <c r="R613" s="531"/>
      <c r="S613" s="531"/>
      <c r="T613" s="531"/>
      <c r="U613" s="531"/>
      <c r="V613" s="531"/>
      <c r="W613" s="531"/>
      <c r="X613" s="531"/>
      <c r="Y613" s="531"/>
      <c r="Z613" s="531"/>
      <c r="AA613" s="531"/>
    </row>
    <row r="614" spans="1:27" s="1" customFormat="1" ht="13" customHeight="1">
      <c r="A614" s="224"/>
      <c r="B614" s="17"/>
      <c r="C614" s="527" t="s">
        <v>10</v>
      </c>
      <c r="D614" s="21">
        <f>Kappe!$Q$26</f>
        <v>8.5</v>
      </c>
      <c r="E614" s="19" t="s">
        <v>7</v>
      </c>
      <c r="F614" s="17"/>
      <c r="G614" s="527" t="s">
        <v>1324</v>
      </c>
      <c r="H614" s="527"/>
      <c r="I614" s="527"/>
      <c r="J614" s="225"/>
      <c r="K614" s="224"/>
      <c r="L614" s="224"/>
      <c r="M614" s="531"/>
      <c r="N614" s="531"/>
      <c r="O614" s="531"/>
      <c r="P614" s="531"/>
      <c r="Q614" s="531"/>
      <c r="R614" s="531"/>
      <c r="S614" s="531"/>
      <c r="T614" s="531"/>
      <c r="U614" s="531"/>
      <c r="V614" s="531"/>
      <c r="W614" s="531"/>
      <c r="X614" s="531"/>
      <c r="Y614" s="531"/>
      <c r="Z614" s="531"/>
      <c r="AA614" s="531"/>
    </row>
    <row r="615" spans="1:27" s="1" customFormat="1" ht="13" customHeight="1">
      <c r="A615" s="224"/>
      <c r="B615" s="17"/>
      <c r="C615" s="23" t="s">
        <v>81</v>
      </c>
      <c r="D615" s="21">
        <f>INDEX(Kappe!Q30:S30,1,MATCH(Eingabe!$C$4,Kappe!$Q$12:$S$12))</f>
        <v>1</v>
      </c>
      <c r="E615" s="19" t="s">
        <v>7</v>
      </c>
      <c r="F615" s="17"/>
      <c r="G615" s="527" t="s">
        <v>1324</v>
      </c>
      <c r="H615" s="527"/>
      <c r="I615" s="527"/>
      <c r="J615" s="225"/>
      <c r="K615" s="224"/>
      <c r="L615" s="224"/>
      <c r="M615" s="531"/>
      <c r="N615" s="531"/>
      <c r="O615" s="531"/>
      <c r="P615" s="531"/>
      <c r="Q615" s="531"/>
      <c r="R615" s="531"/>
      <c r="S615" s="531"/>
      <c r="T615" s="531"/>
      <c r="U615" s="531"/>
      <c r="V615" s="531"/>
      <c r="W615" s="531"/>
      <c r="X615" s="531"/>
      <c r="Y615" s="531"/>
      <c r="Z615" s="531"/>
      <c r="AA615" s="531"/>
    </row>
    <row r="616" spans="1:27" s="1" customFormat="1" ht="13" customHeight="1">
      <c r="A616" s="224"/>
      <c r="B616" s="17"/>
      <c r="C616" s="23" t="s">
        <v>82</v>
      </c>
      <c r="D616" s="21">
        <f>INDEX(Kappe!Q31:S31,1,MATCH(Eingabe!$C$4,Kappe!$Q$12:$S$12))</f>
        <v>1</v>
      </c>
      <c r="E616" s="19" t="s">
        <v>7</v>
      </c>
      <c r="F616" s="17"/>
      <c r="G616" s="527" t="s">
        <v>1324</v>
      </c>
      <c r="H616" s="527"/>
      <c r="I616" s="527"/>
      <c r="J616" s="225"/>
      <c r="K616" s="224"/>
      <c r="L616" s="224"/>
      <c r="M616" s="531"/>
      <c r="N616" s="531"/>
      <c r="O616" s="531"/>
      <c r="P616" s="531"/>
      <c r="Q616" s="531"/>
      <c r="R616" s="531"/>
      <c r="S616" s="531"/>
      <c r="T616" s="531"/>
      <c r="U616" s="531"/>
      <c r="V616" s="531"/>
      <c r="W616" s="531"/>
      <c r="X616" s="531"/>
      <c r="Y616" s="531"/>
      <c r="Z616" s="531"/>
      <c r="AA616" s="531"/>
    </row>
    <row r="617" spans="1:27" s="1" customFormat="1" ht="13" customHeight="1">
      <c r="A617" s="224"/>
      <c r="B617" s="17"/>
      <c r="C617" s="23" t="s">
        <v>83</v>
      </c>
      <c r="D617" s="21">
        <f>INDEX(Kappe!Q32:S32,1,MATCH(Eingabe!$C$4,Kappe!$Q$12:$S$12))</f>
        <v>1</v>
      </c>
      <c r="E617" s="19" t="s">
        <v>7</v>
      </c>
      <c r="F617" s="17"/>
      <c r="G617" s="527" t="s">
        <v>1324</v>
      </c>
      <c r="H617" s="527"/>
      <c r="I617" s="527"/>
      <c r="J617" s="225"/>
      <c r="K617" s="224"/>
      <c r="L617" s="224"/>
      <c r="M617" s="531"/>
      <c r="N617" s="531"/>
      <c r="O617" s="531"/>
      <c r="P617" s="531"/>
      <c r="Q617" s="531"/>
      <c r="R617" s="531"/>
      <c r="S617" s="531"/>
      <c r="T617" s="531"/>
      <c r="U617" s="531"/>
      <c r="V617" s="531"/>
      <c r="W617" s="531"/>
      <c r="X617" s="531"/>
      <c r="Y617" s="531"/>
      <c r="Z617" s="531"/>
      <c r="AA617" s="531"/>
    </row>
    <row r="618" spans="1:27" s="1" customFormat="1" ht="13" customHeight="1">
      <c r="A618" s="224"/>
      <c r="B618" s="17"/>
      <c r="C618" s="23" t="s">
        <v>84</v>
      </c>
      <c r="D618" s="21">
        <f>INDEX(Kappe!Q33:S33,1,MATCH(Eingabe!$C$4,Kappe!$Q$12:$S$12))</f>
        <v>1</v>
      </c>
      <c r="E618" s="19" t="s">
        <v>7</v>
      </c>
      <c r="F618" s="17"/>
      <c r="G618" s="527" t="s">
        <v>1324</v>
      </c>
      <c r="H618" s="527"/>
      <c r="I618" s="527"/>
      <c r="J618" s="225"/>
      <c r="K618" s="224"/>
      <c r="L618" s="224"/>
      <c r="M618" s="531"/>
      <c r="N618" s="531"/>
      <c r="O618" s="531"/>
      <c r="P618" s="531"/>
      <c r="Q618" s="531"/>
      <c r="R618" s="531"/>
      <c r="S618" s="531"/>
      <c r="T618" s="531"/>
      <c r="U618" s="531"/>
      <c r="V618" s="531"/>
      <c r="W618" s="531"/>
      <c r="X618" s="531"/>
      <c r="Y618" s="531"/>
      <c r="Z618" s="531"/>
      <c r="AA618" s="531"/>
    </row>
    <row r="619" spans="1:27" s="650" customFormat="1" ht="13" customHeight="1">
      <c r="A619" s="224"/>
      <c r="B619" s="17"/>
      <c r="C619" s="667" t="s">
        <v>1152</v>
      </c>
      <c r="D619" s="669">
        <f>Eingabe!N3</f>
        <v>1</v>
      </c>
      <c r="E619" s="19" t="s">
        <v>7</v>
      </c>
      <c r="F619" s="217"/>
      <c r="G619" s="527" t="s">
        <v>1151</v>
      </c>
      <c r="H619" s="527"/>
      <c r="I619" s="527"/>
      <c r="J619" s="225"/>
      <c r="K619" s="224"/>
      <c r="L619" s="224"/>
    </row>
    <row r="620" spans="1:27" s="1" customFormat="1" ht="13" customHeight="1">
      <c r="A620" s="224"/>
      <c r="B620" s="17"/>
      <c r="C620" s="527" t="s">
        <v>77</v>
      </c>
      <c r="D620" s="21">
        <f>INDEX(Kappe!Q34:S34,1,MATCH(Eingabe!$C$4,Kappe!$Q$12:$S$12))</f>
        <v>41.042656765686658</v>
      </c>
      <c r="E620" s="19" t="s">
        <v>2</v>
      </c>
      <c r="F620" s="17"/>
      <c r="G620" s="527" t="s">
        <v>1324</v>
      </c>
      <c r="H620" s="527"/>
      <c r="I620" s="527"/>
      <c r="J620" s="225"/>
      <c r="K620" s="224"/>
      <c r="L620" s="224"/>
      <c r="M620" s="531"/>
      <c r="N620" s="531"/>
      <c r="O620" s="531"/>
      <c r="P620" s="531"/>
      <c r="Q620" s="531"/>
      <c r="R620" s="531"/>
      <c r="S620" s="531"/>
      <c r="T620" s="531"/>
      <c r="U620" s="531"/>
      <c r="V620" s="531"/>
      <c r="W620" s="531"/>
      <c r="X620" s="531"/>
      <c r="Y620" s="531"/>
      <c r="Z620" s="531"/>
      <c r="AA620" s="531"/>
    </row>
    <row r="621" spans="1:27" s="1" customFormat="1" ht="13" customHeight="1">
      <c r="A621" s="224"/>
      <c r="B621" s="17"/>
      <c r="C621" s="17" t="s">
        <v>12</v>
      </c>
      <c r="D621" s="21">
        <f>Kappe!$Q$35</f>
        <v>1.2</v>
      </c>
      <c r="E621" s="19" t="s">
        <v>7</v>
      </c>
      <c r="F621" s="17"/>
      <c r="G621" s="527" t="s">
        <v>1324</v>
      </c>
      <c r="H621" s="527"/>
      <c r="I621" s="527"/>
      <c r="J621" s="225"/>
      <c r="K621" s="224"/>
      <c r="L621" s="224"/>
      <c r="M621" s="531"/>
      <c r="N621" s="531"/>
      <c r="O621" s="531"/>
      <c r="P621" s="531"/>
      <c r="Q621" s="531"/>
      <c r="R621" s="531"/>
      <c r="S621" s="531"/>
      <c r="T621" s="531"/>
      <c r="U621" s="531"/>
      <c r="V621" s="531"/>
      <c r="W621" s="531"/>
      <c r="X621" s="531"/>
      <c r="Y621" s="531"/>
      <c r="Z621" s="531"/>
      <c r="AA621" s="531"/>
    </row>
    <row r="622" spans="1:27" s="1" customFormat="1" ht="13" customHeight="1">
      <c r="A622" s="224"/>
      <c r="B622" s="17"/>
      <c r="C622" s="527" t="s">
        <v>71</v>
      </c>
      <c r="D622" s="21">
        <f>INDEX(Kappe!Q36:S36,1,MATCH(Eingabe!$C$4,Kappe!$G$12:$I$12))</f>
        <v>34.202213971405548</v>
      </c>
      <c r="E622" s="19" t="s">
        <v>2</v>
      </c>
      <c r="F622" s="17"/>
      <c r="G622" s="527" t="s">
        <v>73</v>
      </c>
      <c r="H622" s="527"/>
      <c r="I622" s="527"/>
      <c r="J622" s="225"/>
      <c r="K622" s="224"/>
      <c r="L622" s="224"/>
      <c r="M622" s="531"/>
      <c r="N622" s="531"/>
      <c r="O622" s="531"/>
      <c r="P622" s="531"/>
      <c r="Q622" s="531"/>
      <c r="R622" s="531"/>
      <c r="S622" s="531"/>
      <c r="T622" s="531"/>
      <c r="U622" s="531"/>
      <c r="V622" s="531"/>
      <c r="W622" s="531"/>
      <c r="X622" s="531"/>
      <c r="Y622" s="531"/>
      <c r="Z622" s="531"/>
      <c r="AA622" s="531"/>
    </row>
    <row r="623" spans="1:27" s="1" customFormat="1" ht="13" customHeight="1">
      <c r="A623" s="224"/>
      <c r="B623" s="17"/>
      <c r="C623" s="527" t="s">
        <v>306</v>
      </c>
      <c r="D623" s="21">
        <f>Kappe!$Q$53</f>
        <v>3.6775975449364311</v>
      </c>
      <c r="E623" s="19" t="s">
        <v>2</v>
      </c>
      <c r="F623" s="17"/>
      <c r="G623" s="527" t="s">
        <v>75</v>
      </c>
      <c r="H623" s="527"/>
      <c r="I623" s="527"/>
      <c r="J623" s="225"/>
      <c r="K623" s="224"/>
      <c r="L623" s="224"/>
      <c r="M623" s="531"/>
      <c r="N623" s="531"/>
      <c r="O623" s="531"/>
      <c r="P623" s="531"/>
      <c r="Q623" s="531"/>
      <c r="R623" s="531"/>
      <c r="S623" s="531"/>
      <c r="T623" s="531"/>
      <c r="U623" s="531"/>
      <c r="V623" s="531"/>
      <c r="W623" s="531"/>
      <c r="X623" s="531"/>
      <c r="Y623" s="531"/>
      <c r="Z623" s="531"/>
      <c r="AA623" s="531"/>
    </row>
    <row r="624" spans="1:27" s="1" customFormat="1" ht="13" customHeight="1">
      <c r="A624" s="224"/>
      <c r="B624" s="17"/>
      <c r="C624" s="25" t="s">
        <v>89</v>
      </c>
      <c r="D624" s="26">
        <f>D623/D622</f>
        <v>0.10752513120966535</v>
      </c>
      <c r="E624" s="520" t="s">
        <v>7</v>
      </c>
      <c r="F624" s="27"/>
      <c r="G624" s="24" t="s">
        <v>46</v>
      </c>
      <c r="H624" s="527"/>
      <c r="I624" s="527"/>
      <c r="J624" s="225"/>
      <c r="K624" s="224"/>
      <c r="L624" s="224"/>
      <c r="M624" s="531"/>
      <c r="N624" s="531"/>
      <c r="O624" s="531"/>
      <c r="P624" s="531"/>
      <c r="Q624" s="531"/>
      <c r="R624" s="531"/>
      <c r="S624" s="531"/>
      <c r="T624" s="531"/>
      <c r="U624" s="531"/>
      <c r="V624" s="531"/>
      <c r="W624" s="531"/>
      <c r="X624" s="531"/>
      <c r="Y624" s="531"/>
      <c r="Z624" s="531"/>
      <c r="AA624" s="531"/>
    </row>
    <row r="625" spans="1:27" s="1" customFormat="1" ht="5.5" customHeight="1">
      <c r="A625" s="228"/>
      <c r="B625" s="242"/>
      <c r="C625" s="242"/>
      <c r="D625" s="242"/>
      <c r="E625" s="242"/>
      <c r="F625" s="242"/>
      <c r="G625" s="242"/>
      <c r="H625" s="242"/>
      <c r="I625" s="242"/>
      <c r="J625" s="242"/>
      <c r="K625" s="228"/>
      <c r="L625" s="224"/>
      <c r="M625" s="531"/>
      <c r="N625" s="531"/>
      <c r="O625" s="531"/>
      <c r="P625" s="531"/>
      <c r="Q625" s="531"/>
      <c r="R625" s="531"/>
      <c r="S625" s="531"/>
      <c r="T625" s="531"/>
      <c r="U625" s="531"/>
      <c r="V625" s="531"/>
      <c r="W625" s="531"/>
      <c r="X625" s="531"/>
      <c r="Y625" s="531"/>
      <c r="Z625" s="531"/>
      <c r="AA625" s="531"/>
    </row>
    <row r="626" spans="1:27" s="457" customFormat="1">
      <c r="A626" s="1032" t="s">
        <v>513</v>
      </c>
      <c r="B626" s="1032"/>
      <c r="C626" s="1032"/>
      <c r="D626" s="1032"/>
      <c r="E626" s="1032"/>
      <c r="F626" s="1032"/>
      <c r="G626" s="1032"/>
      <c r="H626" s="1032"/>
      <c r="I626" s="1032"/>
      <c r="J626" s="1032"/>
      <c r="K626" s="520"/>
      <c r="L626" s="224"/>
      <c r="M626" s="531"/>
      <c r="N626" s="531"/>
      <c r="O626" s="531"/>
      <c r="P626" s="531"/>
      <c r="Q626" s="531"/>
      <c r="R626" s="531"/>
      <c r="S626" s="531"/>
      <c r="T626" s="531"/>
      <c r="U626" s="531"/>
      <c r="V626" s="531"/>
      <c r="W626" s="531"/>
      <c r="X626" s="531"/>
      <c r="Y626" s="531"/>
      <c r="Z626" s="531"/>
      <c r="AA626" s="531"/>
    </row>
    <row r="627" spans="1:27" s="457" customFormat="1">
      <c r="A627" s="228"/>
      <c r="B627" s="235" t="s">
        <v>120</v>
      </c>
      <c r="C627" s="242"/>
      <c r="D627" s="242"/>
      <c r="E627" s="242"/>
      <c r="F627" s="242"/>
      <c r="G627" s="242"/>
      <c r="H627" s="242"/>
      <c r="I627" s="242"/>
      <c r="J627" s="242"/>
      <c r="K627" s="228"/>
      <c r="L627" s="224"/>
      <c r="M627" s="531"/>
      <c r="N627" s="531"/>
      <c r="O627" s="531"/>
      <c r="P627" s="531"/>
      <c r="Q627" s="531"/>
      <c r="R627" s="531"/>
      <c r="S627" s="531"/>
      <c r="T627" s="531"/>
      <c r="U627" s="531"/>
      <c r="V627" s="531"/>
      <c r="W627" s="531"/>
      <c r="X627" s="531"/>
      <c r="Y627" s="531"/>
      <c r="Z627" s="531"/>
      <c r="AA627" s="531"/>
    </row>
    <row r="628" spans="1:27" s="457" customFormat="1" ht="13" customHeight="1">
      <c r="A628" s="228"/>
      <c r="B628" s="242"/>
      <c r="C628" s="527" t="s">
        <v>118</v>
      </c>
      <c r="D628" s="465">
        <f>INDEX(Kappe!Q58:S58,1,MATCH(Eingabe!$C$4,Kappe!$Q$12:$S$12))</f>
        <v>764.11576346761751</v>
      </c>
      <c r="E628" s="19" t="s">
        <v>119</v>
      </c>
      <c r="F628" s="17"/>
      <c r="G628" s="527" t="s">
        <v>362</v>
      </c>
      <c r="H628" s="242"/>
      <c r="I628" s="242"/>
      <c r="J628" s="242"/>
      <c r="K628" s="228"/>
      <c r="L628" s="224"/>
      <c r="M628" s="531"/>
      <c r="N628" s="531"/>
      <c r="O628" s="531"/>
      <c r="P628" s="531"/>
      <c r="Q628" s="531"/>
      <c r="R628" s="531"/>
      <c r="S628" s="531"/>
      <c r="T628" s="531"/>
      <c r="U628" s="531"/>
      <c r="V628" s="531"/>
      <c r="W628" s="531"/>
      <c r="X628" s="531"/>
      <c r="Y628" s="531"/>
      <c r="Z628" s="531"/>
      <c r="AA628" s="531"/>
    </row>
    <row r="629" spans="1:27" s="457" customFormat="1" ht="13" customHeight="1">
      <c r="A629" s="228"/>
      <c r="B629" s="242"/>
      <c r="C629" s="17" t="s">
        <v>3</v>
      </c>
      <c r="D629" s="237">
        <f>Kappe!$Q$59</f>
        <v>1.56</v>
      </c>
      <c r="E629" s="19" t="s">
        <v>7</v>
      </c>
      <c r="F629" s="17"/>
      <c r="G629" s="527" t="s">
        <v>359</v>
      </c>
      <c r="H629" s="242"/>
      <c r="I629" s="242"/>
      <c r="J629" s="242"/>
      <c r="K629" s="228"/>
      <c r="L629" s="224"/>
      <c r="M629" s="531"/>
      <c r="N629" s="531"/>
      <c r="O629" s="531"/>
      <c r="P629" s="531"/>
      <c r="Q629" s="531"/>
      <c r="R629" s="531"/>
      <c r="S629" s="531"/>
      <c r="T629" s="531"/>
      <c r="U629" s="531"/>
      <c r="V629" s="531"/>
      <c r="W629" s="531"/>
      <c r="X629" s="531"/>
      <c r="Y629" s="531"/>
      <c r="Z629" s="531"/>
      <c r="AA629" s="531"/>
    </row>
    <row r="630" spans="1:27" s="457" customFormat="1" ht="13" customHeight="1">
      <c r="A630" s="228"/>
      <c r="B630" s="242"/>
      <c r="C630" s="527" t="s">
        <v>65</v>
      </c>
      <c r="D630" s="465">
        <f>INDEX(Kappe!Q60:S60,1,MATCH(Eingabe!$C$4,Kappe!$Q$12:$S$12))</f>
        <v>30.613612318414162</v>
      </c>
      <c r="E630" s="19" t="s">
        <v>2</v>
      </c>
      <c r="F630" s="17"/>
      <c r="G630" s="527" t="s">
        <v>73</v>
      </c>
      <c r="H630" s="242"/>
      <c r="I630" s="242"/>
      <c r="J630" s="242"/>
      <c r="K630" s="228"/>
      <c r="L630" s="224"/>
      <c r="M630" s="531"/>
      <c r="N630" s="531"/>
      <c r="O630" s="531"/>
      <c r="P630" s="531"/>
      <c r="Q630" s="531"/>
      <c r="R630" s="531"/>
      <c r="S630" s="531"/>
      <c r="T630" s="531"/>
      <c r="U630" s="531"/>
      <c r="V630" s="531"/>
      <c r="W630" s="531"/>
      <c r="X630" s="531"/>
      <c r="Y630" s="531"/>
      <c r="Z630" s="531"/>
      <c r="AA630" s="531"/>
    </row>
    <row r="631" spans="1:27" s="457" customFormat="1" ht="13" customHeight="1">
      <c r="A631" s="228"/>
      <c r="B631" s="242"/>
      <c r="C631" s="527" t="s">
        <v>307</v>
      </c>
      <c r="D631" s="465">
        <f>Kappe!$Q$61</f>
        <v>29.921271248249965</v>
      </c>
      <c r="E631" s="19" t="s">
        <v>2</v>
      </c>
      <c r="F631" s="17"/>
      <c r="G631" s="527" t="s">
        <v>75</v>
      </c>
      <c r="H631" s="242"/>
      <c r="I631" s="242"/>
      <c r="J631" s="242"/>
      <c r="K631" s="228"/>
      <c r="L631" s="224"/>
      <c r="M631" s="531"/>
      <c r="N631" s="531"/>
      <c r="O631" s="531"/>
      <c r="P631" s="531"/>
      <c r="Q631" s="531"/>
      <c r="R631" s="531"/>
      <c r="S631" s="531"/>
      <c r="T631" s="531"/>
      <c r="U631" s="531"/>
      <c r="V631" s="531"/>
      <c r="W631" s="531"/>
      <c r="X631" s="531"/>
      <c r="Y631" s="531"/>
      <c r="Z631" s="531"/>
      <c r="AA631" s="531"/>
    </row>
    <row r="632" spans="1:27" s="457" customFormat="1" ht="13" customHeight="1">
      <c r="A632" s="228"/>
      <c r="B632" s="242"/>
      <c r="C632" s="25" t="s">
        <v>90</v>
      </c>
      <c r="D632" s="466">
        <f>D631/D630</f>
        <v>0.97738453525303992</v>
      </c>
      <c r="E632" s="520" t="s">
        <v>7</v>
      </c>
      <c r="F632" s="27"/>
      <c r="G632" s="24" t="s">
        <v>46</v>
      </c>
      <c r="H632" s="242"/>
      <c r="I632" s="242"/>
      <c r="J632" s="242"/>
      <c r="K632" s="228"/>
      <c r="L632" s="224"/>
      <c r="M632" s="531"/>
      <c r="N632" s="531"/>
      <c r="O632" s="531"/>
      <c r="P632" s="531"/>
      <c r="Q632" s="531"/>
      <c r="R632" s="531"/>
      <c r="S632" s="531"/>
      <c r="T632" s="531"/>
      <c r="U632" s="531"/>
      <c r="V632" s="531"/>
      <c r="W632" s="531"/>
      <c r="X632" s="531"/>
      <c r="Y632" s="531"/>
      <c r="Z632" s="531"/>
      <c r="AA632" s="531"/>
    </row>
    <row r="633" spans="1:27" s="457" customFormat="1" ht="5.5" customHeight="1">
      <c r="A633" s="228"/>
      <c r="B633" s="242"/>
      <c r="C633" s="242"/>
      <c r="D633" s="242"/>
      <c r="E633" s="242"/>
      <c r="F633" s="242"/>
      <c r="G633" s="242"/>
      <c r="H633" s="242"/>
      <c r="I633" s="242"/>
      <c r="J633" s="242"/>
      <c r="K633" s="228"/>
      <c r="L633" s="224"/>
      <c r="M633" s="531"/>
      <c r="N633" s="531"/>
      <c r="O633" s="531"/>
      <c r="P633" s="531"/>
      <c r="Q633" s="531"/>
      <c r="R633" s="531"/>
      <c r="S633" s="531"/>
      <c r="T633" s="531"/>
      <c r="U633" s="531"/>
      <c r="V633" s="531"/>
      <c r="W633" s="531"/>
      <c r="X633" s="531"/>
      <c r="Y633" s="531"/>
      <c r="Z633" s="531"/>
      <c r="AA633" s="531"/>
    </row>
    <row r="634" spans="1:27" s="457" customFormat="1">
      <c r="A634" s="228"/>
      <c r="B634" s="238" t="s">
        <v>9</v>
      </c>
      <c r="C634" s="242"/>
      <c r="D634" s="242"/>
      <c r="E634" s="242"/>
      <c r="F634" s="242"/>
      <c r="G634" s="242"/>
      <c r="H634" s="242"/>
      <c r="I634" s="242"/>
      <c r="J634" s="242"/>
      <c r="K634" s="228"/>
      <c r="L634" s="224"/>
      <c r="M634" s="531"/>
      <c r="N634" s="531"/>
      <c r="O634" s="531"/>
      <c r="P634" s="531"/>
      <c r="Q634" s="531"/>
      <c r="R634" s="531"/>
      <c r="S634" s="531"/>
      <c r="T634" s="531"/>
      <c r="U634" s="531"/>
      <c r="V634" s="531"/>
      <c r="W634" s="531"/>
      <c r="X634" s="531"/>
      <c r="Y634" s="531"/>
      <c r="Z634" s="531"/>
      <c r="AA634" s="531"/>
    </row>
    <row r="635" spans="1:27" s="457" customFormat="1" ht="13" customHeight="1">
      <c r="A635" s="228"/>
      <c r="B635" s="242"/>
      <c r="C635" s="4" t="s">
        <v>10</v>
      </c>
      <c r="D635" s="237">
        <f>Kappe!$Q$64</f>
        <v>2</v>
      </c>
      <c r="E635" s="19" t="s">
        <v>7</v>
      </c>
      <c r="F635" s="17"/>
      <c r="G635" s="527" t="s">
        <v>1324</v>
      </c>
      <c r="H635" s="242"/>
      <c r="I635" s="242"/>
      <c r="J635" s="242"/>
      <c r="K635" s="228"/>
      <c r="L635" s="224"/>
      <c r="M635" s="531"/>
      <c r="N635" s="531"/>
      <c r="O635" s="531"/>
      <c r="P635" s="531"/>
      <c r="Q635" s="531"/>
      <c r="R635" s="531"/>
      <c r="S635" s="531"/>
      <c r="T635" s="531"/>
      <c r="U635" s="531"/>
      <c r="V635" s="531"/>
      <c r="W635" s="531"/>
      <c r="X635" s="531"/>
      <c r="Y635" s="531"/>
      <c r="Z635" s="531"/>
      <c r="AA635" s="531"/>
    </row>
    <row r="636" spans="1:27" s="457" customFormat="1" ht="13" customHeight="1">
      <c r="A636" s="228"/>
      <c r="B636" s="242"/>
      <c r="C636" s="527" t="s">
        <v>18</v>
      </c>
      <c r="D636" s="465">
        <f>INDEX(Kappe!Q65:S65,1,MATCH(Eingabe!$C$4,Kappe!$Q$12:$S$12))</f>
        <v>82.085313531373316</v>
      </c>
      <c r="E636" s="237" t="s">
        <v>2</v>
      </c>
      <c r="F636" s="17"/>
      <c r="G636" s="527" t="s">
        <v>1324</v>
      </c>
      <c r="H636" s="242"/>
      <c r="I636" s="242"/>
      <c r="J636" s="242"/>
      <c r="K636" s="228"/>
      <c r="L636" s="224"/>
      <c r="M636" s="531"/>
      <c r="N636" s="531"/>
      <c r="O636" s="531"/>
      <c r="P636" s="531"/>
      <c r="Q636" s="531"/>
      <c r="R636" s="531"/>
      <c r="S636" s="531"/>
      <c r="T636" s="531"/>
      <c r="U636" s="531"/>
      <c r="V636" s="531"/>
      <c r="W636" s="531"/>
      <c r="X636" s="531"/>
      <c r="Y636" s="531"/>
      <c r="Z636" s="531"/>
      <c r="AA636" s="531"/>
    </row>
    <row r="637" spans="1:27" s="457" customFormat="1" ht="13" customHeight="1">
      <c r="A637" s="228"/>
      <c r="B637" s="242"/>
      <c r="C637" s="17" t="s">
        <v>12</v>
      </c>
      <c r="D637" s="465">
        <f>Kappe!$Q$66</f>
        <v>1.2</v>
      </c>
      <c r="E637" s="19" t="s">
        <v>7</v>
      </c>
      <c r="F637" s="17"/>
      <c r="G637" s="527" t="s">
        <v>1324</v>
      </c>
      <c r="H637" s="242"/>
      <c r="I637" s="242"/>
      <c r="J637" s="242"/>
      <c r="K637" s="228"/>
      <c r="L637" s="224"/>
      <c r="M637" s="531"/>
      <c r="N637" s="531"/>
      <c r="O637" s="531"/>
      <c r="P637" s="531"/>
      <c r="Q637" s="531"/>
      <c r="R637" s="531"/>
      <c r="S637" s="531"/>
      <c r="T637" s="531"/>
      <c r="U637" s="531"/>
      <c r="V637" s="531"/>
      <c r="W637" s="531"/>
      <c r="X637" s="531"/>
      <c r="Y637" s="531"/>
      <c r="Z637" s="531"/>
      <c r="AA637" s="531"/>
    </row>
    <row r="638" spans="1:27" s="457" customFormat="1" ht="13" customHeight="1">
      <c r="A638" s="228"/>
      <c r="B638" s="242"/>
      <c r="C638" s="17" t="s">
        <v>72</v>
      </c>
      <c r="D638" s="465">
        <f>INDEX(Kappe!Q67:S67,1,MATCH(Eingabe!$C$4,Kappe!$Q$12:$S$12))</f>
        <v>68.404427942811097</v>
      </c>
      <c r="E638" s="19" t="s">
        <v>2</v>
      </c>
      <c r="F638" s="17"/>
      <c r="G638" s="527" t="s">
        <v>73</v>
      </c>
      <c r="H638" s="242"/>
      <c r="I638" s="242"/>
      <c r="J638" s="242"/>
      <c r="K638" s="228"/>
      <c r="L638" s="224"/>
      <c r="M638" s="531"/>
      <c r="N638" s="531"/>
      <c r="O638" s="531"/>
      <c r="P638" s="531"/>
      <c r="Q638" s="531"/>
      <c r="R638" s="531"/>
      <c r="S638" s="531"/>
      <c r="T638" s="531"/>
      <c r="U638" s="531"/>
      <c r="V638" s="531"/>
      <c r="W638" s="531"/>
      <c r="X638" s="531"/>
      <c r="Y638" s="531"/>
      <c r="Z638" s="531"/>
      <c r="AA638" s="531"/>
    </row>
    <row r="639" spans="1:27" s="457" customFormat="1" ht="13" customHeight="1">
      <c r="A639" s="228"/>
      <c r="B639" s="242"/>
      <c r="C639" s="527" t="s">
        <v>307</v>
      </c>
      <c r="D639" s="465">
        <f>Kappe!$Q$61</f>
        <v>29.921271248249965</v>
      </c>
      <c r="E639" s="19" t="s">
        <v>2</v>
      </c>
      <c r="F639" s="17"/>
      <c r="G639" s="527" t="s">
        <v>75</v>
      </c>
      <c r="H639" s="242"/>
      <c r="I639" s="242"/>
      <c r="J639" s="242"/>
      <c r="K639" s="228"/>
      <c r="L639" s="224"/>
      <c r="M639" s="531"/>
      <c r="N639" s="531"/>
      <c r="O639" s="531"/>
      <c r="P639" s="531"/>
      <c r="Q639" s="531"/>
      <c r="R639" s="531"/>
      <c r="S639" s="531"/>
      <c r="T639" s="531"/>
      <c r="U639" s="531"/>
      <c r="V639" s="531"/>
      <c r="W639" s="531"/>
      <c r="X639" s="531"/>
      <c r="Y639" s="531"/>
      <c r="Z639" s="531"/>
      <c r="AA639" s="531"/>
    </row>
    <row r="640" spans="1:27" s="457" customFormat="1" ht="13" customHeight="1">
      <c r="A640" s="228"/>
      <c r="B640" s="242"/>
      <c r="C640" s="25" t="s">
        <v>91</v>
      </c>
      <c r="D640" s="466">
        <f>D639/D638</f>
        <v>0.43741716944501569</v>
      </c>
      <c r="E640" s="520" t="s">
        <v>7</v>
      </c>
      <c r="F640" s="27"/>
      <c r="G640" s="24" t="s">
        <v>46</v>
      </c>
      <c r="H640" s="242"/>
      <c r="I640" s="242"/>
      <c r="J640" s="242"/>
      <c r="K640" s="228"/>
      <c r="L640" s="224"/>
      <c r="M640" s="531"/>
      <c r="N640" s="531"/>
      <c r="O640" s="531"/>
      <c r="P640" s="531"/>
      <c r="Q640" s="531"/>
      <c r="R640" s="531"/>
      <c r="S640" s="531"/>
      <c r="T640" s="531"/>
      <c r="U640" s="531"/>
      <c r="V640" s="531"/>
      <c r="W640" s="531"/>
      <c r="X640" s="531"/>
      <c r="Y640" s="531"/>
      <c r="Z640" s="531"/>
      <c r="AA640" s="531"/>
    </row>
    <row r="641" spans="1:27" s="457" customFormat="1" ht="5.5" customHeight="1">
      <c r="A641" s="228"/>
      <c r="B641" s="242"/>
      <c r="C641" s="242"/>
      <c r="D641" s="237"/>
      <c r="E641" s="242"/>
      <c r="F641" s="242"/>
      <c r="G641" s="242"/>
      <c r="H641" s="242"/>
      <c r="I641" s="242"/>
      <c r="J641" s="242"/>
      <c r="K641" s="228"/>
      <c r="L641" s="224"/>
      <c r="M641" s="531"/>
      <c r="N641" s="531"/>
      <c r="O641" s="531"/>
      <c r="P641" s="531"/>
      <c r="Q641" s="531"/>
      <c r="R641" s="531"/>
      <c r="S641" s="531"/>
      <c r="T641" s="531"/>
      <c r="U641" s="531"/>
      <c r="V641" s="531"/>
      <c r="W641" s="531"/>
      <c r="X641" s="531"/>
      <c r="Y641" s="531"/>
      <c r="Z641" s="531"/>
      <c r="AA641" s="531"/>
    </row>
    <row r="642" spans="1:27" s="457" customFormat="1">
      <c r="A642" s="1034" t="s">
        <v>518</v>
      </c>
      <c r="B642" s="1034"/>
      <c r="C642" s="1034"/>
      <c r="D642" s="1034"/>
      <c r="E642" s="1034"/>
      <c r="F642" s="1034"/>
      <c r="G642" s="1034"/>
      <c r="H642" s="1034"/>
      <c r="I642" s="1034"/>
      <c r="J642" s="1034"/>
      <c r="K642" s="228"/>
      <c r="L642" s="224"/>
      <c r="M642" s="531"/>
      <c r="N642" s="531"/>
      <c r="O642" s="531"/>
      <c r="P642" s="531"/>
      <c r="Q642" s="531"/>
      <c r="R642" s="531"/>
      <c r="S642" s="531"/>
      <c r="T642" s="531"/>
      <c r="U642" s="531"/>
      <c r="V642" s="531"/>
      <c r="W642" s="531"/>
      <c r="X642" s="531"/>
      <c r="Y642" s="531"/>
      <c r="Z642" s="531"/>
      <c r="AA642" s="531"/>
    </row>
    <row r="643" spans="1:27" s="457" customFormat="1" ht="5.5" customHeight="1">
      <c r="A643" s="228"/>
      <c r="B643" s="242"/>
      <c r="C643" s="242"/>
      <c r="D643" s="237"/>
      <c r="E643" s="242"/>
      <c r="F643" s="242"/>
      <c r="G643" s="242"/>
      <c r="H643" s="242"/>
      <c r="I643" s="242"/>
      <c r="J643" s="242"/>
      <c r="K643" s="228"/>
      <c r="L643" s="224"/>
      <c r="M643" s="531"/>
      <c r="N643" s="531"/>
      <c r="O643" s="531"/>
      <c r="P643" s="531"/>
      <c r="Q643" s="531"/>
      <c r="R643" s="531"/>
      <c r="S643" s="531"/>
      <c r="T643" s="531"/>
      <c r="U643" s="531"/>
      <c r="V643" s="531"/>
      <c r="W643" s="531"/>
      <c r="X643" s="531"/>
      <c r="Y643" s="531"/>
      <c r="Z643" s="531"/>
      <c r="AA643" s="531"/>
    </row>
    <row r="644" spans="1:27" s="457" customFormat="1" ht="13" customHeight="1">
      <c r="A644" s="228"/>
      <c r="B644" s="242"/>
      <c r="C644" s="23" t="s">
        <v>85</v>
      </c>
      <c r="D644" s="465">
        <f>INDEX(Kappe!Q89:S89,1,MATCH(Eingabe!$C$4,Kappe!$Q$12:$S$12))</f>
        <v>0.10752513120966535</v>
      </c>
      <c r="E644" s="19" t="s">
        <v>7</v>
      </c>
      <c r="F644" s="17"/>
      <c r="G644" s="527" t="s">
        <v>515</v>
      </c>
      <c r="H644" s="242"/>
      <c r="I644" s="242"/>
      <c r="J644" s="242"/>
      <c r="K644" s="228"/>
      <c r="L644" s="224"/>
      <c r="M644" s="531"/>
      <c r="N644" s="531"/>
      <c r="O644" s="531"/>
      <c r="P644" s="531"/>
      <c r="Q644" s="531"/>
      <c r="R644" s="531"/>
      <c r="S644" s="531"/>
      <c r="T644" s="531"/>
      <c r="U644" s="531"/>
      <c r="V644" s="531"/>
      <c r="W644" s="531"/>
      <c r="X644" s="531"/>
      <c r="Y644" s="531"/>
      <c r="Z644" s="531"/>
      <c r="AA644" s="531"/>
    </row>
    <row r="645" spans="1:27" s="457" customFormat="1" ht="13" customHeight="1">
      <c r="A645" s="228"/>
      <c r="B645" s="242"/>
      <c r="C645" s="23" t="s">
        <v>87</v>
      </c>
      <c r="D645" s="465">
        <f>INDEX(Kappe!Q90:S90,1,MATCH(Eingabe!$C$4,Kappe!$Q$12:$S$12))</f>
        <v>0.97738453525303992</v>
      </c>
      <c r="E645" s="19" t="s">
        <v>7</v>
      </c>
      <c r="F645" s="17"/>
      <c r="G645" s="527" t="s">
        <v>519</v>
      </c>
      <c r="H645" s="242"/>
      <c r="I645" s="242"/>
      <c r="J645" s="242"/>
      <c r="K645" s="228"/>
      <c r="L645" s="224"/>
      <c r="M645" s="531"/>
      <c r="N645" s="531"/>
      <c r="O645" s="531"/>
      <c r="P645" s="531"/>
      <c r="Q645" s="531"/>
      <c r="R645" s="531"/>
      <c r="S645" s="531"/>
      <c r="T645" s="531"/>
      <c r="U645" s="531"/>
      <c r="V645" s="531"/>
      <c r="W645" s="531"/>
      <c r="X645" s="531"/>
      <c r="Y645" s="531"/>
      <c r="Z645" s="531"/>
      <c r="AA645" s="531"/>
    </row>
    <row r="646" spans="1:27" s="457" customFormat="1" ht="13" hidden="1" customHeight="1">
      <c r="A646" s="228"/>
      <c r="B646" s="242"/>
      <c r="C646" s="23"/>
      <c r="D646" s="465"/>
      <c r="E646" s="19"/>
      <c r="F646" s="17"/>
      <c r="G646" s="527"/>
      <c r="H646" s="242"/>
      <c r="I646" s="242"/>
      <c r="J646" s="242"/>
      <c r="K646" s="228"/>
      <c r="L646" s="224"/>
      <c r="M646" s="531"/>
      <c r="N646" s="531"/>
      <c r="O646" s="531"/>
      <c r="P646" s="531"/>
      <c r="Q646" s="531"/>
      <c r="R646" s="531"/>
      <c r="S646" s="531"/>
      <c r="T646" s="531"/>
      <c r="U646" s="531"/>
      <c r="V646" s="531"/>
      <c r="W646" s="531"/>
      <c r="X646" s="531"/>
      <c r="Y646" s="531"/>
      <c r="Z646" s="531"/>
      <c r="AA646" s="531"/>
    </row>
    <row r="647" spans="1:27" s="1" customFormat="1" ht="13" customHeight="1">
      <c r="A647" s="17"/>
      <c r="B647" s="17"/>
      <c r="C647" s="25" t="s">
        <v>548</v>
      </c>
      <c r="D647" s="26">
        <f>INDEX(Kappe!Q92:S92,1,MATCH(Eingabe!$C$4,Kappe!$Q$12:$S$12))</f>
        <v>0.90409138871892114</v>
      </c>
      <c r="E647" s="520" t="s">
        <v>7</v>
      </c>
      <c r="F647" s="27"/>
      <c r="G647" s="24" t="s">
        <v>1324</v>
      </c>
      <c r="H647" s="20"/>
      <c r="I647" s="17"/>
      <c r="J647" s="17"/>
      <c r="K647" s="17"/>
      <c r="L647" s="520"/>
      <c r="M647" s="531"/>
      <c r="N647" s="531"/>
      <c r="O647" s="531"/>
      <c r="P647" s="531"/>
      <c r="Q647" s="531"/>
      <c r="R647" s="531"/>
      <c r="S647" s="531"/>
      <c r="T647" s="531"/>
      <c r="U647" s="531"/>
      <c r="V647" s="531"/>
      <c r="W647" s="531"/>
      <c r="X647" s="531"/>
      <c r="Y647" s="531"/>
      <c r="Z647" s="531"/>
      <c r="AA647" s="531"/>
    </row>
    <row r="648" spans="1:27" s="1" customFormat="1">
      <c r="A648" s="531"/>
      <c r="B648" s="531"/>
      <c r="C648" s="531"/>
      <c r="D648" s="531"/>
      <c r="E648" s="531"/>
      <c r="F648" s="531"/>
      <c r="G648" s="531"/>
      <c r="H648" s="531"/>
      <c r="I648" s="531"/>
      <c r="J648" s="531"/>
      <c r="K648" s="531"/>
      <c r="L648" s="17"/>
      <c r="M648" s="531"/>
      <c r="N648" s="531"/>
      <c r="O648" s="531"/>
      <c r="P648" s="531"/>
      <c r="Q648" s="531"/>
      <c r="R648" s="531"/>
      <c r="S648" s="531"/>
      <c r="T648" s="531"/>
      <c r="U648" s="531"/>
      <c r="V648" s="531"/>
      <c r="W648" s="531"/>
      <c r="X648" s="531"/>
      <c r="Y648" s="531"/>
      <c r="Z648" s="531"/>
      <c r="AA648" s="531"/>
    </row>
    <row r="649" spans="1:27" s="1" customFormat="1">
      <c r="A649" s="1033" t="s">
        <v>1362</v>
      </c>
      <c r="B649" s="1033"/>
      <c r="C649" s="1033"/>
      <c r="D649" s="1033"/>
      <c r="E649" s="1033"/>
      <c r="F649" s="1033"/>
      <c r="G649" s="1033"/>
      <c r="H649" s="1033"/>
      <c r="I649" s="1033"/>
      <c r="J649" s="1033"/>
      <c r="K649" s="531"/>
      <c r="L649" s="531"/>
      <c r="M649" s="531"/>
      <c r="N649" s="531"/>
      <c r="O649" s="531"/>
      <c r="P649" s="531"/>
      <c r="Q649" s="531"/>
      <c r="R649" s="531"/>
      <c r="S649" s="531"/>
      <c r="T649" s="531"/>
      <c r="U649" s="531"/>
      <c r="V649" s="531"/>
      <c r="W649" s="531"/>
      <c r="X649" s="531"/>
      <c r="Y649" s="531"/>
      <c r="Z649" s="531"/>
      <c r="AA649" s="531"/>
    </row>
    <row r="650" spans="1:27" s="1" customFormat="1">
      <c r="A650" s="884"/>
      <c r="B650" s="884"/>
      <c r="C650" s="884"/>
      <c r="D650" s="884"/>
      <c r="E650" s="884"/>
      <c r="F650" s="884"/>
      <c r="G650" s="884"/>
      <c r="H650" s="884"/>
      <c r="I650" s="884"/>
      <c r="J650" s="884"/>
      <c r="K650" s="531"/>
      <c r="L650" s="531"/>
      <c r="M650" s="531"/>
      <c r="N650" s="531"/>
      <c r="O650" s="531"/>
      <c r="P650" s="531"/>
      <c r="Q650" s="531"/>
      <c r="R650" s="531"/>
      <c r="S650" s="531"/>
      <c r="T650" s="531"/>
      <c r="U650" s="531"/>
      <c r="V650" s="531"/>
      <c r="W650" s="531"/>
      <c r="X650" s="531"/>
      <c r="Y650" s="531"/>
      <c r="Z650" s="531"/>
      <c r="AA650" s="531"/>
    </row>
    <row r="651" spans="1:27" s="1" customFormat="1" ht="23.9" customHeight="1">
      <c r="A651" s="884"/>
      <c r="B651" s="1098" t="s">
        <v>1363</v>
      </c>
      <c r="C651" s="1098"/>
      <c r="D651" s="1098"/>
      <c r="E651" s="1098"/>
      <c r="F651" s="1098"/>
      <c r="G651" s="1098"/>
      <c r="H651" s="1098"/>
      <c r="I651" s="1098"/>
      <c r="J651" s="1098"/>
      <c r="K651" s="531"/>
      <c r="L651" s="531"/>
      <c r="M651" s="531"/>
      <c r="N651" s="531"/>
      <c r="O651" s="531"/>
      <c r="P651" s="531"/>
      <c r="Q651" s="531"/>
      <c r="R651" s="531"/>
      <c r="S651" s="531"/>
      <c r="T651" s="531"/>
      <c r="U651" s="531"/>
      <c r="V651" s="531"/>
      <c r="W651" s="531"/>
      <c r="X651" s="531"/>
      <c r="Y651" s="531"/>
      <c r="Z651" s="531"/>
      <c r="AA651" s="531"/>
    </row>
    <row r="652" spans="1:27" s="1" customFormat="1" ht="15">
      <c r="A652" s="884"/>
      <c r="B652" s="884"/>
      <c r="C652" s="885" t="s">
        <v>1355</v>
      </c>
      <c r="D652" s="890">
        <f>Eingabe!C26</f>
        <v>90.6</v>
      </c>
      <c r="E652" s="883" t="s">
        <v>98</v>
      </c>
      <c r="F652" s="886"/>
      <c r="G652" s="887" t="s">
        <v>1354</v>
      </c>
      <c r="H652" s="886"/>
      <c r="I652" s="886"/>
      <c r="J652" s="884"/>
      <c r="K652" s="531"/>
      <c r="L652" s="531"/>
      <c r="M652" s="531"/>
      <c r="N652" s="531"/>
      <c r="O652" s="531"/>
      <c r="P652" s="531"/>
      <c r="Q652" s="531"/>
      <c r="R652" s="531"/>
      <c r="S652" s="531"/>
      <c r="T652" s="531"/>
      <c r="U652" s="531"/>
      <c r="V652" s="531"/>
      <c r="W652" s="531"/>
      <c r="X652" s="531"/>
      <c r="Y652" s="531"/>
      <c r="Z652" s="531"/>
      <c r="AA652" s="531"/>
    </row>
    <row r="653" spans="1:27" s="1" customFormat="1" ht="15">
      <c r="A653" s="884"/>
      <c r="B653" s="884"/>
      <c r="C653" s="239" t="s">
        <v>1356</v>
      </c>
      <c r="D653" s="890">
        <v>500</v>
      </c>
      <c r="E653" s="887" t="s">
        <v>1357</v>
      </c>
      <c r="F653" s="420"/>
      <c r="G653" s="889" t="s">
        <v>1352</v>
      </c>
      <c r="H653" s="884"/>
      <c r="I653" s="884"/>
      <c r="J653" s="884"/>
      <c r="K653" s="531"/>
      <c r="L653" s="531"/>
      <c r="M653" s="531"/>
      <c r="N653" s="531"/>
      <c r="O653" s="531"/>
      <c r="P653" s="531"/>
      <c r="Q653" s="531"/>
      <c r="R653" s="531"/>
      <c r="S653" s="531"/>
      <c r="T653" s="531"/>
      <c r="U653" s="531"/>
      <c r="V653" s="531"/>
      <c r="W653" s="531"/>
      <c r="X653" s="531"/>
      <c r="Y653" s="531"/>
      <c r="Z653" s="531"/>
      <c r="AA653" s="531"/>
    </row>
    <row r="654" spans="1:27" s="1" customFormat="1" ht="15">
      <c r="A654" s="884"/>
      <c r="B654" s="884"/>
      <c r="C654" s="17" t="s">
        <v>1358</v>
      </c>
      <c r="D654" s="890">
        <v>1.1499999999999999</v>
      </c>
      <c r="E654" s="883" t="s">
        <v>7</v>
      </c>
      <c r="F654" s="420"/>
      <c r="G654" s="889" t="s">
        <v>1353</v>
      </c>
      <c r="H654" s="884"/>
      <c r="I654" s="884"/>
      <c r="J654" s="884"/>
      <c r="K654" s="531"/>
      <c r="L654" s="531"/>
      <c r="M654" s="531"/>
      <c r="N654" s="531"/>
      <c r="O654" s="531"/>
      <c r="P654" s="531"/>
      <c r="Q654" s="531"/>
      <c r="R654" s="531"/>
      <c r="S654" s="531"/>
      <c r="T654" s="531"/>
      <c r="U654" s="531"/>
      <c r="V654" s="531"/>
      <c r="W654" s="531"/>
      <c r="X654" s="531"/>
      <c r="Y654" s="531"/>
      <c r="Z654" s="531"/>
      <c r="AA654" s="531"/>
    </row>
    <row r="655" spans="1:27" s="1" customFormat="1" ht="15">
      <c r="A655" s="884"/>
      <c r="B655" s="884"/>
      <c r="C655" s="4" t="s">
        <v>1359</v>
      </c>
      <c r="D655" s="888">
        <f>D652*10/D653*D654</f>
        <v>2.0838000000000001</v>
      </c>
      <c r="E655" s="893" t="s">
        <v>1360</v>
      </c>
      <c r="F655" s="420"/>
      <c r="G655" s="889" t="s">
        <v>1361</v>
      </c>
      <c r="H655" s="884"/>
      <c r="I655" s="884"/>
      <c r="J655" s="884"/>
      <c r="K655" s="531"/>
      <c r="L655" s="531"/>
      <c r="M655" s="531"/>
      <c r="N655" s="531"/>
      <c r="O655" s="531"/>
      <c r="P655" s="531"/>
      <c r="Q655" s="531"/>
      <c r="R655" s="531"/>
      <c r="S655" s="531"/>
      <c r="T655" s="531"/>
      <c r="U655" s="531"/>
      <c r="V655" s="531"/>
      <c r="W655" s="531"/>
      <c r="X655" s="531"/>
      <c r="Y655" s="531"/>
      <c r="Z655" s="531"/>
      <c r="AA655" s="531"/>
    </row>
    <row r="656" spans="1:27" s="892" customFormat="1">
      <c r="C656" s="4"/>
      <c r="D656" s="888"/>
      <c r="E656" s="893"/>
      <c r="F656" s="420"/>
      <c r="G656" s="889"/>
    </row>
    <row r="657" spans="1:27" s="892" customFormat="1" ht="23.5" customHeight="1">
      <c r="B657" s="894" t="s">
        <v>1371</v>
      </c>
      <c r="D657" s="888"/>
      <c r="E657" s="893"/>
      <c r="F657" s="420"/>
      <c r="G657" s="889"/>
    </row>
    <row r="658" spans="1:27" s="892" customFormat="1" ht="15">
      <c r="C658" s="4" t="s">
        <v>1368</v>
      </c>
      <c r="D658" s="888">
        <f>ROUNDDOWN(1.54/D655,2)</f>
        <v>0.73</v>
      </c>
      <c r="E658" s="19" t="s">
        <v>551</v>
      </c>
      <c r="F658" s="420"/>
      <c r="G658" s="889" t="s">
        <v>1365</v>
      </c>
    </row>
    <row r="659" spans="1:27" s="892" customFormat="1" ht="15">
      <c r="C659" s="4" t="s">
        <v>1369</v>
      </c>
      <c r="D659" s="888">
        <f>ROUNDDOWN(2.01/D655,2)</f>
        <v>0.96</v>
      </c>
      <c r="E659" s="19" t="s">
        <v>551</v>
      </c>
      <c r="F659" s="420"/>
      <c r="G659" s="889" t="s">
        <v>1366</v>
      </c>
    </row>
    <row r="660" spans="1:27" s="892" customFormat="1" ht="15">
      <c r="C660" s="4" t="s">
        <v>1370</v>
      </c>
      <c r="D660" s="888">
        <f>ROUNDDOWN(3.14/D655,2)</f>
        <v>1.5</v>
      </c>
      <c r="E660" s="19" t="s">
        <v>551</v>
      </c>
      <c r="F660" s="420"/>
      <c r="G660" s="889" t="s">
        <v>1367</v>
      </c>
    </row>
    <row r="661" spans="1:27" s="1" customFormat="1">
      <c r="A661" s="884"/>
      <c r="B661" s="884"/>
      <c r="C661" s="884"/>
      <c r="D661" s="884"/>
      <c r="E661" s="884"/>
      <c r="F661" s="884"/>
      <c r="G661" s="884"/>
      <c r="H661" s="884"/>
      <c r="I661" s="884"/>
      <c r="J661" s="884"/>
      <c r="K661" s="531"/>
      <c r="L661" s="531"/>
      <c r="M661" s="531"/>
      <c r="N661" s="531"/>
      <c r="O661" s="531"/>
      <c r="P661" s="531"/>
      <c r="Q661" s="531"/>
      <c r="R661" s="531"/>
      <c r="S661" s="531"/>
      <c r="T661" s="531"/>
      <c r="U661" s="531"/>
      <c r="V661" s="531"/>
      <c r="W661" s="531"/>
      <c r="X661" s="531"/>
      <c r="Y661" s="531"/>
      <c r="Z661" s="531"/>
      <c r="AA661" s="531"/>
    </row>
    <row r="662" spans="1:27" s="1" customFormat="1" ht="59.5" customHeight="1">
      <c r="A662" s="884"/>
      <c r="B662" s="1098" t="s">
        <v>1364</v>
      </c>
      <c r="C662" s="1098"/>
      <c r="D662" s="1098"/>
      <c r="E662" s="1098"/>
      <c r="F662" s="1098"/>
      <c r="G662" s="1098"/>
      <c r="H662" s="1098"/>
      <c r="I662" s="1098"/>
      <c r="J662" s="1098"/>
      <c r="K662" s="531"/>
      <c r="L662" s="531"/>
      <c r="M662" s="531"/>
      <c r="N662" s="531"/>
      <c r="O662" s="531"/>
      <c r="P662" s="531"/>
      <c r="Q662" s="531"/>
      <c r="R662" s="531"/>
      <c r="S662" s="531"/>
      <c r="T662" s="531"/>
      <c r="U662" s="531"/>
      <c r="V662" s="531"/>
      <c r="W662" s="531"/>
      <c r="X662" s="531"/>
      <c r="Y662" s="531"/>
      <c r="Z662" s="531"/>
      <c r="AA662" s="531"/>
    </row>
    <row r="663" spans="1:27" s="1" customFormat="1">
      <c r="A663" s="531"/>
      <c r="B663" s="531"/>
      <c r="C663" s="531"/>
      <c r="D663" s="531"/>
      <c r="E663" s="531"/>
      <c r="F663" s="531"/>
      <c r="G663" s="531"/>
      <c r="H663" s="531"/>
      <c r="I663" s="531"/>
      <c r="J663" s="531"/>
      <c r="K663" s="531"/>
      <c r="L663" s="531"/>
      <c r="M663" s="531"/>
      <c r="N663" s="531"/>
      <c r="O663" s="531"/>
      <c r="P663" s="531"/>
      <c r="Q663" s="531"/>
      <c r="R663" s="531"/>
      <c r="S663" s="531"/>
      <c r="T663" s="531"/>
      <c r="U663" s="531"/>
      <c r="V663" s="531"/>
      <c r="W663" s="531"/>
      <c r="X663" s="531"/>
      <c r="Y663" s="531"/>
      <c r="Z663" s="531"/>
      <c r="AA663" s="531"/>
    </row>
    <row r="664" spans="1:27" s="1" customFormat="1">
      <c r="A664" s="531"/>
      <c r="B664" s="531"/>
      <c r="C664" s="531"/>
      <c r="D664" s="531"/>
      <c r="E664" s="531"/>
      <c r="F664" s="531"/>
      <c r="G664" s="531"/>
      <c r="H664" s="531"/>
      <c r="I664" s="531"/>
      <c r="J664" s="531"/>
      <c r="K664" s="531"/>
      <c r="L664" s="531"/>
      <c r="M664" s="531"/>
      <c r="N664" s="531"/>
      <c r="O664" s="531"/>
      <c r="P664" s="531"/>
      <c r="Q664" s="531"/>
      <c r="R664" s="531"/>
      <c r="S664" s="531"/>
      <c r="T664" s="531"/>
      <c r="U664" s="531"/>
      <c r="V664" s="531"/>
      <c r="W664" s="531"/>
      <c r="X664" s="531"/>
      <c r="Y664" s="531"/>
      <c r="Z664" s="531"/>
      <c r="AA664" s="531"/>
    </row>
    <row r="665" spans="1:27" s="1" customFormat="1">
      <c r="A665" s="531"/>
      <c r="B665" s="531"/>
      <c r="C665" s="531"/>
      <c r="D665" s="531"/>
      <c r="E665" s="531"/>
      <c r="F665" s="531"/>
      <c r="G665" s="531"/>
      <c r="H665" s="531"/>
      <c r="I665" s="531"/>
      <c r="J665" s="531"/>
      <c r="K665" s="531"/>
      <c r="L665" s="531"/>
      <c r="M665" s="531"/>
      <c r="N665" s="531"/>
      <c r="O665" s="531"/>
      <c r="P665" s="531"/>
      <c r="Q665" s="531"/>
      <c r="R665" s="531"/>
      <c r="S665" s="531"/>
      <c r="T665" s="531"/>
      <c r="U665" s="531"/>
      <c r="V665" s="531"/>
      <c r="W665" s="531"/>
      <c r="X665" s="531"/>
      <c r="Y665" s="531"/>
      <c r="Z665" s="531"/>
      <c r="AA665" s="531"/>
    </row>
    <row r="666" spans="1:27" s="1" customFormat="1">
      <c r="A666" s="531"/>
      <c r="B666" s="531"/>
      <c r="C666" s="531"/>
      <c r="D666" s="531"/>
      <c r="E666" s="531"/>
      <c r="F666" s="531"/>
      <c r="G666" s="531"/>
      <c r="H666" s="531"/>
      <c r="I666" s="531"/>
      <c r="J666" s="531"/>
      <c r="K666" s="531"/>
      <c r="L666" s="531"/>
      <c r="M666" s="531"/>
      <c r="N666" s="531"/>
      <c r="O666" s="531"/>
      <c r="P666" s="531"/>
      <c r="Q666" s="531"/>
      <c r="R666" s="531"/>
      <c r="S666" s="531"/>
      <c r="T666" s="531"/>
      <c r="U666" s="531"/>
      <c r="V666" s="531"/>
      <c r="W666" s="531"/>
      <c r="X666" s="531"/>
      <c r="Y666" s="531"/>
      <c r="Z666" s="531"/>
      <c r="AA666" s="531"/>
    </row>
    <row r="667" spans="1:27" s="1" customFormat="1">
      <c r="A667" s="531"/>
      <c r="B667" s="531"/>
      <c r="C667" s="531"/>
      <c r="D667" s="531"/>
      <c r="E667" s="531"/>
      <c r="F667" s="531"/>
      <c r="G667" s="531"/>
      <c r="H667" s="531"/>
      <c r="I667" s="531"/>
      <c r="J667" s="531"/>
      <c r="K667" s="531"/>
      <c r="L667" s="531"/>
      <c r="M667" s="531"/>
      <c r="N667" s="531"/>
      <c r="O667" s="531"/>
      <c r="P667" s="531"/>
      <c r="Q667" s="531"/>
      <c r="R667" s="531"/>
      <c r="S667" s="531"/>
      <c r="T667" s="531"/>
      <c r="U667" s="531"/>
      <c r="V667" s="531"/>
      <c r="W667" s="531"/>
      <c r="X667" s="531"/>
      <c r="Y667" s="531"/>
      <c r="Z667" s="531"/>
      <c r="AA667" s="531"/>
    </row>
    <row r="668" spans="1:27" s="1" customFormat="1">
      <c r="A668" s="531"/>
      <c r="B668" s="531"/>
      <c r="C668" s="531"/>
      <c r="D668" s="531"/>
      <c r="E668" s="531"/>
      <c r="F668" s="531"/>
      <c r="G668" s="531"/>
      <c r="H668" s="531"/>
      <c r="I668" s="531"/>
      <c r="J668" s="531"/>
      <c r="K668" s="531"/>
      <c r="L668" s="531"/>
      <c r="M668" s="531"/>
      <c r="N668" s="531"/>
      <c r="O668" s="531"/>
      <c r="P668" s="531"/>
      <c r="Q668" s="531"/>
      <c r="R668" s="531"/>
      <c r="S668" s="531"/>
      <c r="T668" s="531"/>
      <c r="U668" s="531"/>
      <c r="V668" s="531"/>
      <c r="W668" s="531"/>
      <c r="X668" s="531"/>
      <c r="Y668" s="531"/>
      <c r="Z668" s="531"/>
      <c r="AA668" s="531"/>
    </row>
    <row r="669" spans="1:27" s="1" customFormat="1">
      <c r="A669" s="531"/>
      <c r="B669" s="531"/>
      <c r="C669" s="531"/>
      <c r="D669" s="531"/>
      <c r="E669" s="531"/>
      <c r="F669" s="531"/>
      <c r="G669" s="531"/>
      <c r="H669" s="531"/>
      <c r="I669" s="531"/>
      <c r="J669" s="531"/>
      <c r="K669" s="531"/>
      <c r="L669" s="531"/>
      <c r="M669" s="531"/>
      <c r="N669" s="531"/>
      <c r="O669" s="531"/>
      <c r="P669" s="531"/>
      <c r="Q669" s="531"/>
      <c r="R669" s="531"/>
      <c r="S669" s="531"/>
      <c r="T669" s="531"/>
      <c r="U669" s="531"/>
      <c r="V669" s="531"/>
      <c r="W669" s="531"/>
      <c r="X669" s="531"/>
      <c r="Y669" s="531"/>
      <c r="Z669" s="531"/>
      <c r="AA669" s="531"/>
    </row>
    <row r="670" spans="1:27" s="1" customFormat="1">
      <c r="A670" s="531"/>
      <c r="B670" s="531"/>
      <c r="C670" s="531"/>
      <c r="D670" s="531"/>
      <c r="E670" s="531"/>
      <c r="F670" s="531"/>
      <c r="G670" s="531"/>
      <c r="H670" s="531"/>
      <c r="I670" s="531"/>
      <c r="J670" s="531"/>
      <c r="K670" s="531"/>
      <c r="L670" s="531"/>
      <c r="M670" s="531"/>
      <c r="N670" s="531"/>
      <c r="O670" s="531"/>
      <c r="P670" s="531"/>
      <c r="Q670" s="531"/>
      <c r="R670" s="531"/>
      <c r="S670" s="531"/>
      <c r="T670" s="531"/>
      <c r="U670" s="531"/>
      <c r="V670" s="531"/>
      <c r="W670" s="531"/>
      <c r="X670" s="531"/>
      <c r="Y670" s="531"/>
      <c r="Z670" s="531"/>
      <c r="AA670" s="531"/>
    </row>
    <row r="671" spans="1:27" s="1" customFormat="1">
      <c r="A671" s="531"/>
      <c r="B671" s="531"/>
      <c r="C671" s="531"/>
      <c r="D671" s="531"/>
      <c r="E671" s="531"/>
      <c r="F671" s="531"/>
      <c r="G671" s="531"/>
      <c r="H671" s="531"/>
      <c r="I671" s="531"/>
      <c r="J671" s="531"/>
      <c r="K671" s="531"/>
      <c r="L671" s="531"/>
      <c r="M671" s="531"/>
      <c r="N671" s="531"/>
      <c r="O671" s="531"/>
      <c r="P671" s="531"/>
      <c r="Q671" s="531"/>
      <c r="R671" s="531"/>
      <c r="S671" s="531"/>
      <c r="T671" s="531"/>
      <c r="U671" s="531"/>
      <c r="V671" s="531"/>
      <c r="W671" s="531"/>
      <c r="X671" s="531"/>
      <c r="Y671" s="531"/>
      <c r="Z671" s="531"/>
      <c r="AA671" s="531"/>
    </row>
    <row r="672" spans="1:27" s="1" customFormat="1">
      <c r="A672" s="531"/>
      <c r="B672" s="531"/>
      <c r="C672" s="531"/>
      <c r="D672" s="531"/>
      <c r="E672" s="531"/>
      <c r="F672" s="531"/>
      <c r="G672" s="531"/>
      <c r="H672" s="531"/>
      <c r="I672" s="531"/>
      <c r="J672" s="531"/>
      <c r="K672" s="531"/>
      <c r="L672" s="531"/>
      <c r="M672" s="531"/>
      <c r="N672" s="531"/>
      <c r="O672" s="531"/>
      <c r="P672" s="531"/>
      <c r="Q672" s="531"/>
      <c r="R672" s="531"/>
      <c r="S672" s="531"/>
      <c r="T672" s="531"/>
      <c r="U672" s="531"/>
      <c r="V672" s="531"/>
      <c r="W672" s="531"/>
      <c r="X672" s="531"/>
      <c r="Y672" s="531"/>
      <c r="Z672" s="531"/>
      <c r="AA672" s="531"/>
    </row>
    <row r="673" spans="1:27" s="1" customFormat="1">
      <c r="A673" s="531"/>
      <c r="B673" s="531"/>
      <c r="C673" s="531"/>
      <c r="D673" s="531"/>
      <c r="E673" s="531"/>
      <c r="F673" s="531"/>
      <c r="G673" s="531"/>
      <c r="H673" s="531"/>
      <c r="I673" s="531"/>
      <c r="J673" s="531"/>
      <c r="K673" s="531"/>
      <c r="L673" s="531"/>
      <c r="M673" s="531"/>
      <c r="N673" s="531"/>
      <c r="O673" s="531"/>
      <c r="P673" s="531"/>
      <c r="Q673" s="531"/>
      <c r="R673" s="531"/>
      <c r="S673" s="531"/>
      <c r="T673" s="531"/>
      <c r="U673" s="531"/>
      <c r="V673" s="531"/>
      <c r="W673" s="531"/>
      <c r="X673" s="531"/>
      <c r="Y673" s="531"/>
      <c r="Z673" s="531"/>
      <c r="AA673" s="531"/>
    </row>
    <row r="674" spans="1:27" s="1" customFormat="1">
      <c r="A674" s="531"/>
      <c r="B674" s="531"/>
      <c r="C674" s="531"/>
      <c r="D674" s="531"/>
      <c r="E674" s="531"/>
      <c r="F674" s="531"/>
      <c r="G674" s="531"/>
      <c r="H674" s="531"/>
      <c r="I674" s="531"/>
      <c r="J674" s="531"/>
      <c r="K674" s="531"/>
      <c r="L674" s="531"/>
      <c r="M674" s="531"/>
      <c r="N674" s="531"/>
      <c r="O674" s="531"/>
      <c r="P674" s="531"/>
      <c r="Q674" s="531"/>
      <c r="R674" s="531"/>
      <c r="S674" s="531"/>
      <c r="T674" s="531"/>
      <c r="U674" s="531"/>
      <c r="V674" s="531"/>
      <c r="W674" s="531"/>
      <c r="X674" s="531"/>
      <c r="Y674" s="531"/>
      <c r="Z674" s="531"/>
      <c r="AA674" s="531"/>
    </row>
    <row r="675" spans="1:27" s="1" customFormat="1">
      <c r="A675" s="531"/>
      <c r="B675" s="531"/>
      <c r="C675" s="531"/>
      <c r="D675" s="531"/>
      <c r="E675" s="531"/>
      <c r="F675" s="531"/>
      <c r="G675" s="531"/>
      <c r="H675" s="531"/>
      <c r="I675" s="531"/>
      <c r="J675" s="531"/>
      <c r="K675" s="531"/>
      <c r="L675" s="531"/>
      <c r="M675" s="531"/>
      <c r="N675" s="531"/>
      <c r="O675" s="531"/>
      <c r="P675" s="531"/>
      <c r="Q675" s="531"/>
      <c r="R675" s="531"/>
      <c r="S675" s="531"/>
      <c r="T675" s="531"/>
      <c r="U675" s="531"/>
      <c r="V675" s="531"/>
      <c r="W675" s="531"/>
      <c r="X675" s="531"/>
      <c r="Y675" s="531"/>
      <c r="Z675" s="531"/>
      <c r="AA675" s="531"/>
    </row>
    <row r="676" spans="1:27" s="1" customFormat="1">
      <c r="A676" s="531"/>
      <c r="B676" s="531"/>
      <c r="C676" s="531"/>
      <c r="D676" s="531"/>
      <c r="E676" s="531"/>
      <c r="F676" s="531"/>
      <c r="G676" s="531"/>
      <c r="H676" s="531"/>
      <c r="I676" s="531"/>
      <c r="J676" s="531"/>
      <c r="K676" s="531"/>
      <c r="L676" s="531"/>
      <c r="M676" s="531"/>
      <c r="N676" s="531"/>
      <c r="O676" s="531"/>
      <c r="P676" s="531"/>
      <c r="Q676" s="531"/>
      <c r="R676" s="531"/>
      <c r="S676" s="531"/>
      <c r="T676" s="531"/>
      <c r="U676" s="531"/>
      <c r="V676" s="531"/>
      <c r="W676" s="531"/>
      <c r="X676" s="531"/>
      <c r="Y676" s="531"/>
      <c r="Z676" s="531"/>
      <c r="AA676" s="531"/>
    </row>
    <row r="677" spans="1:27" s="1" customFormat="1">
      <c r="A677" s="531"/>
      <c r="B677" s="531"/>
      <c r="C677" s="531"/>
      <c r="D677" s="531"/>
      <c r="E677" s="531"/>
      <c r="F677" s="531"/>
      <c r="G677" s="531"/>
      <c r="H677" s="531"/>
      <c r="I677" s="531"/>
      <c r="J677" s="531"/>
      <c r="K677" s="531"/>
      <c r="L677" s="531"/>
      <c r="M677" s="531"/>
      <c r="N677" s="531"/>
      <c r="O677" s="531"/>
      <c r="P677" s="531"/>
      <c r="Q677" s="531"/>
      <c r="R677" s="531"/>
      <c r="S677" s="531"/>
      <c r="T677" s="531"/>
      <c r="U677" s="531"/>
      <c r="V677" s="531"/>
      <c r="W677" s="531"/>
      <c r="X677" s="531"/>
      <c r="Y677" s="531"/>
      <c r="Z677" s="531"/>
      <c r="AA677" s="531"/>
    </row>
    <row r="678" spans="1:27" s="1" customFormat="1">
      <c r="A678" s="531"/>
      <c r="B678" s="531"/>
      <c r="C678" s="531"/>
      <c r="D678" s="531"/>
      <c r="E678" s="531"/>
      <c r="F678" s="531"/>
      <c r="G678" s="531"/>
      <c r="H678" s="531"/>
      <c r="I678" s="531"/>
      <c r="J678" s="531"/>
      <c r="K678" s="531"/>
      <c r="L678" s="531"/>
      <c r="M678" s="531"/>
      <c r="N678" s="531"/>
      <c r="O678" s="531"/>
      <c r="P678" s="531"/>
      <c r="Q678" s="531"/>
      <c r="R678" s="531"/>
      <c r="S678" s="531"/>
      <c r="T678" s="531"/>
      <c r="U678" s="531"/>
      <c r="V678" s="531"/>
      <c r="W678" s="531"/>
      <c r="X678" s="531"/>
      <c r="Y678" s="531"/>
      <c r="Z678" s="531"/>
      <c r="AA678" s="531"/>
    </row>
    <row r="679" spans="1:27" s="1" customFormat="1">
      <c r="A679" s="531"/>
      <c r="B679" s="531"/>
      <c r="C679" s="531"/>
      <c r="D679" s="531"/>
      <c r="E679" s="531"/>
      <c r="F679" s="531"/>
      <c r="G679" s="531"/>
      <c r="H679" s="531"/>
      <c r="I679" s="531"/>
      <c r="J679" s="531"/>
      <c r="K679" s="531"/>
      <c r="L679" s="531"/>
      <c r="M679" s="531"/>
      <c r="N679" s="531"/>
      <c r="O679" s="531"/>
      <c r="P679" s="531"/>
      <c r="Q679" s="531"/>
      <c r="R679" s="531"/>
      <c r="S679" s="531"/>
      <c r="T679" s="531"/>
      <c r="U679" s="531"/>
      <c r="V679" s="531"/>
      <c r="W679" s="531"/>
      <c r="X679" s="531"/>
      <c r="Y679" s="531"/>
      <c r="Z679" s="531"/>
      <c r="AA679" s="531"/>
    </row>
    <row r="680" spans="1:27" s="1" customFormat="1">
      <c r="A680" s="531"/>
      <c r="B680" s="531"/>
      <c r="C680" s="531"/>
      <c r="D680" s="531"/>
      <c r="E680" s="531"/>
      <c r="F680" s="531"/>
      <c r="G680" s="531"/>
      <c r="H680" s="531"/>
      <c r="I680" s="531"/>
      <c r="J680" s="531"/>
      <c r="K680" s="531"/>
      <c r="L680" s="531"/>
      <c r="M680" s="531"/>
      <c r="N680" s="531"/>
      <c r="O680" s="531"/>
      <c r="P680" s="531"/>
      <c r="Q680" s="531"/>
      <c r="R680" s="531"/>
      <c r="S680" s="531"/>
      <c r="T680" s="531"/>
      <c r="U680" s="531"/>
      <c r="V680" s="531"/>
      <c r="W680" s="531"/>
      <c r="X680" s="531"/>
      <c r="Y680" s="531"/>
      <c r="Z680" s="531"/>
      <c r="AA680" s="531"/>
    </row>
    <row r="681" spans="1:27" s="1" customFormat="1">
      <c r="A681" s="531"/>
      <c r="B681" s="531"/>
      <c r="C681" s="531"/>
      <c r="D681" s="531"/>
      <c r="E681" s="531"/>
      <c r="F681" s="531"/>
      <c r="G681" s="531"/>
      <c r="H681" s="531"/>
      <c r="I681" s="531"/>
      <c r="J681" s="531"/>
      <c r="K681" s="531"/>
      <c r="L681" s="531"/>
      <c r="M681" s="531"/>
      <c r="N681" s="531"/>
      <c r="O681" s="531"/>
      <c r="P681" s="531"/>
      <c r="Q681" s="531"/>
      <c r="R681" s="531"/>
      <c r="S681" s="531"/>
      <c r="T681" s="531"/>
      <c r="U681" s="531"/>
      <c r="V681" s="531"/>
      <c r="W681" s="531"/>
      <c r="X681" s="531"/>
      <c r="Y681" s="531"/>
      <c r="Z681" s="531"/>
      <c r="AA681" s="531"/>
    </row>
    <row r="682" spans="1:27" s="1" customFormat="1">
      <c r="A682" s="531"/>
      <c r="B682" s="531"/>
      <c r="C682" s="531"/>
      <c r="D682" s="531"/>
      <c r="E682" s="531"/>
      <c r="F682" s="531"/>
      <c r="G682" s="531"/>
      <c r="H682" s="531"/>
      <c r="I682" s="531"/>
      <c r="J682" s="531"/>
      <c r="K682" s="531"/>
      <c r="L682" s="531"/>
      <c r="M682" s="531"/>
      <c r="N682" s="531"/>
      <c r="O682" s="531"/>
      <c r="P682" s="531"/>
      <c r="Q682" s="531"/>
      <c r="R682" s="531"/>
      <c r="S682" s="531"/>
      <c r="T682" s="531"/>
      <c r="U682" s="531"/>
      <c r="V682" s="531"/>
      <c r="W682" s="531"/>
      <c r="X682" s="531"/>
      <c r="Y682" s="531"/>
      <c r="Z682" s="531"/>
      <c r="AA682" s="531"/>
    </row>
    <row r="683" spans="1:27" s="1" customFormat="1">
      <c r="A683" s="531"/>
      <c r="B683" s="531"/>
      <c r="C683" s="531"/>
      <c r="D683" s="531"/>
      <c r="E683" s="531"/>
      <c r="F683" s="531"/>
      <c r="G683" s="531"/>
      <c r="H683" s="531"/>
      <c r="I683" s="531"/>
      <c r="J683" s="531"/>
      <c r="K683" s="531"/>
      <c r="L683" s="531"/>
      <c r="M683" s="531"/>
      <c r="N683" s="531"/>
      <c r="O683" s="531"/>
      <c r="P683" s="531"/>
      <c r="Q683" s="531"/>
      <c r="R683" s="531"/>
      <c r="S683" s="531"/>
      <c r="T683" s="531"/>
      <c r="U683" s="531"/>
      <c r="V683" s="531"/>
      <c r="W683" s="531"/>
      <c r="X683" s="531"/>
      <c r="Y683" s="531"/>
      <c r="Z683" s="531"/>
      <c r="AA683" s="531"/>
    </row>
    <row r="684" spans="1:27" s="1" customFormat="1">
      <c r="A684" s="531"/>
      <c r="B684" s="531"/>
      <c r="C684" s="531"/>
      <c r="D684" s="531"/>
      <c r="E684" s="531"/>
      <c r="F684" s="531"/>
      <c r="G684" s="531"/>
      <c r="H684" s="531"/>
      <c r="I684" s="531"/>
      <c r="J684" s="531"/>
      <c r="K684" s="531"/>
      <c r="L684" s="531"/>
      <c r="M684" s="531"/>
      <c r="N684" s="531"/>
      <c r="O684" s="531"/>
      <c r="P684" s="531"/>
      <c r="Q684" s="531"/>
      <c r="R684" s="531"/>
      <c r="S684" s="531"/>
      <c r="T684" s="531"/>
      <c r="U684" s="531"/>
      <c r="V684" s="531"/>
      <c r="W684" s="531"/>
      <c r="X684" s="531"/>
      <c r="Y684" s="531"/>
      <c r="Z684" s="531"/>
      <c r="AA684" s="531"/>
    </row>
    <row r="685" spans="1:27" s="1" customFormat="1">
      <c r="A685" s="531"/>
      <c r="B685" s="531"/>
      <c r="C685" s="531"/>
      <c r="D685" s="531"/>
      <c r="E685" s="531"/>
      <c r="F685" s="531"/>
      <c r="G685" s="531"/>
      <c r="H685" s="531"/>
      <c r="I685" s="531"/>
      <c r="J685" s="531"/>
      <c r="K685" s="531"/>
      <c r="L685" s="531"/>
      <c r="M685" s="531"/>
      <c r="N685" s="531"/>
      <c r="O685" s="531"/>
      <c r="P685" s="531"/>
      <c r="Q685" s="531"/>
      <c r="R685" s="531"/>
      <c r="S685" s="531"/>
      <c r="T685" s="531"/>
      <c r="U685" s="531"/>
      <c r="V685" s="531"/>
      <c r="W685" s="531"/>
      <c r="X685" s="531"/>
      <c r="Y685" s="531"/>
      <c r="Z685" s="531"/>
      <c r="AA685" s="531"/>
    </row>
    <row r="686" spans="1:27" s="1" customFormat="1">
      <c r="A686" s="531"/>
      <c r="B686" s="531"/>
      <c r="C686" s="531"/>
      <c r="D686" s="531"/>
      <c r="E686" s="531"/>
      <c r="F686" s="531"/>
      <c r="G686" s="531"/>
      <c r="H686" s="531"/>
      <c r="I686" s="531"/>
      <c r="J686" s="531"/>
      <c r="K686" s="531"/>
      <c r="L686" s="531"/>
      <c r="M686" s="531"/>
      <c r="N686" s="531"/>
      <c r="O686" s="531"/>
      <c r="P686" s="531"/>
      <c r="Q686" s="531"/>
      <c r="R686" s="531"/>
      <c r="S686" s="531"/>
      <c r="T686" s="531"/>
      <c r="U686" s="531"/>
      <c r="V686" s="531"/>
      <c r="W686" s="531"/>
      <c r="X686" s="531"/>
      <c r="Y686" s="531"/>
      <c r="Z686" s="531"/>
      <c r="AA686" s="531"/>
    </row>
    <row r="687" spans="1:27" s="1" customFormat="1">
      <c r="A687" s="531"/>
      <c r="B687" s="531"/>
      <c r="C687" s="531"/>
      <c r="D687" s="531"/>
      <c r="E687" s="531"/>
      <c r="F687" s="531"/>
      <c r="G687" s="531"/>
      <c r="H687" s="531"/>
      <c r="I687" s="531"/>
      <c r="J687" s="531"/>
      <c r="K687" s="531"/>
      <c r="L687" s="531"/>
      <c r="M687" s="531"/>
      <c r="N687" s="531"/>
      <c r="O687" s="531"/>
      <c r="P687" s="531"/>
      <c r="Q687" s="531"/>
      <c r="R687" s="531"/>
      <c r="S687" s="531"/>
      <c r="T687" s="531"/>
      <c r="U687" s="531"/>
      <c r="V687" s="531"/>
      <c r="W687" s="531"/>
      <c r="X687" s="531"/>
      <c r="Y687" s="531"/>
      <c r="Z687" s="531"/>
      <c r="AA687" s="531"/>
    </row>
    <row r="688" spans="1:27" s="1" customFormat="1">
      <c r="A688" s="531"/>
      <c r="B688" s="531"/>
      <c r="C688" s="531"/>
      <c r="D688" s="531"/>
      <c r="E688" s="531"/>
      <c r="F688" s="531"/>
      <c r="G688" s="531"/>
      <c r="H688" s="531"/>
      <c r="I688" s="531"/>
      <c r="J688" s="531"/>
      <c r="K688" s="531"/>
      <c r="L688" s="531"/>
      <c r="M688" s="531"/>
      <c r="N688" s="531"/>
      <c r="O688" s="531"/>
      <c r="P688" s="531"/>
      <c r="Q688" s="531"/>
      <c r="R688" s="531"/>
      <c r="S688" s="531"/>
      <c r="T688" s="531"/>
      <c r="U688" s="531"/>
      <c r="V688" s="531"/>
      <c r="W688" s="531"/>
      <c r="X688" s="531"/>
      <c r="Y688" s="531"/>
      <c r="Z688" s="531"/>
      <c r="AA688" s="531"/>
    </row>
    <row r="689" spans="1:27" s="1" customFormat="1">
      <c r="A689" s="531"/>
      <c r="B689" s="531"/>
      <c r="C689" s="531"/>
      <c r="D689" s="531"/>
      <c r="E689" s="531"/>
      <c r="F689" s="531"/>
      <c r="G689" s="531"/>
      <c r="H689" s="531"/>
      <c r="I689" s="531"/>
      <c r="J689" s="531"/>
      <c r="K689" s="531"/>
      <c r="L689" s="531"/>
      <c r="M689" s="531"/>
      <c r="N689" s="531"/>
      <c r="O689" s="531"/>
      <c r="P689" s="531"/>
      <c r="Q689" s="531"/>
      <c r="R689" s="531"/>
      <c r="S689" s="531"/>
      <c r="T689" s="531"/>
      <c r="U689" s="531"/>
      <c r="V689" s="531"/>
      <c r="W689" s="531"/>
      <c r="X689" s="531"/>
      <c r="Y689" s="531"/>
      <c r="Z689" s="531"/>
      <c r="AA689" s="531"/>
    </row>
    <row r="690" spans="1:27" s="1" customFormat="1">
      <c r="A690" s="531"/>
      <c r="B690" s="531"/>
      <c r="C690" s="531"/>
      <c r="D690" s="531"/>
      <c r="E690" s="531"/>
      <c r="F690" s="531"/>
      <c r="G690" s="531"/>
      <c r="H690" s="531"/>
      <c r="I690" s="531"/>
      <c r="J690" s="531"/>
      <c r="K690" s="531"/>
      <c r="L690" s="531"/>
      <c r="M690" s="531"/>
      <c r="N690" s="531"/>
      <c r="O690" s="531"/>
      <c r="P690" s="531"/>
      <c r="Q690" s="531"/>
      <c r="R690" s="531"/>
      <c r="S690" s="531"/>
      <c r="T690" s="531"/>
      <c r="U690" s="531"/>
      <c r="V690" s="531"/>
      <c r="W690" s="531"/>
      <c r="X690" s="531"/>
      <c r="Y690" s="531"/>
      <c r="Z690" s="531"/>
      <c r="AA690" s="531"/>
    </row>
    <row r="691" spans="1:27" s="1" customFormat="1">
      <c r="A691" s="531"/>
      <c r="B691" s="531"/>
      <c r="C691" s="531"/>
      <c r="D691" s="531"/>
      <c r="E691" s="531"/>
      <c r="F691" s="531"/>
      <c r="G691" s="531"/>
      <c r="H691" s="531"/>
      <c r="I691" s="531"/>
      <c r="J691" s="531"/>
      <c r="K691" s="531"/>
      <c r="L691" s="531"/>
      <c r="M691" s="531"/>
      <c r="N691" s="531"/>
      <c r="O691" s="531"/>
      <c r="P691" s="531"/>
      <c r="Q691" s="531"/>
      <c r="R691" s="531"/>
      <c r="S691" s="531"/>
      <c r="T691" s="531"/>
      <c r="U691" s="531"/>
      <c r="V691" s="531"/>
      <c r="W691" s="531"/>
      <c r="X691" s="531"/>
      <c r="Y691" s="531"/>
      <c r="Z691" s="531"/>
      <c r="AA691" s="531"/>
    </row>
    <row r="692" spans="1:27" s="1" customFormat="1">
      <c r="A692" s="531"/>
      <c r="B692" s="531"/>
      <c r="C692" s="531"/>
      <c r="D692" s="531"/>
      <c r="E692" s="531"/>
      <c r="F692" s="531"/>
      <c r="G692" s="531"/>
      <c r="H692" s="531"/>
      <c r="I692" s="531"/>
      <c r="J692" s="531"/>
      <c r="K692" s="531"/>
      <c r="L692" s="531"/>
      <c r="M692" s="531"/>
      <c r="N692" s="531"/>
      <c r="O692" s="531"/>
      <c r="P692" s="531"/>
      <c r="Q692" s="531"/>
      <c r="R692" s="531"/>
      <c r="S692" s="531"/>
      <c r="T692" s="531"/>
      <c r="U692" s="531"/>
      <c r="V692" s="531"/>
      <c r="W692" s="531"/>
      <c r="X692" s="531"/>
      <c r="Y692" s="531"/>
      <c r="Z692" s="531"/>
      <c r="AA692" s="531"/>
    </row>
    <row r="693" spans="1:27" s="1" customFormat="1">
      <c r="A693" s="531"/>
      <c r="B693" s="531"/>
      <c r="C693" s="531"/>
      <c r="D693" s="531"/>
      <c r="E693" s="531"/>
      <c r="F693" s="531"/>
      <c r="G693" s="531"/>
      <c r="H693" s="531"/>
      <c r="I693" s="531"/>
      <c r="J693" s="531"/>
      <c r="K693" s="531"/>
      <c r="L693" s="531"/>
      <c r="M693" s="531"/>
      <c r="N693" s="531"/>
      <c r="O693" s="531"/>
      <c r="P693" s="531"/>
      <c r="Q693" s="531"/>
      <c r="R693" s="531"/>
      <c r="S693" s="531"/>
      <c r="T693" s="531"/>
      <c r="U693" s="531"/>
      <c r="V693" s="531"/>
      <c r="W693" s="531"/>
      <c r="X693" s="531"/>
      <c r="Y693" s="531"/>
      <c r="Z693" s="531"/>
      <c r="AA693" s="531"/>
    </row>
    <row r="694" spans="1:27" s="1" customFormat="1">
      <c r="A694" s="531"/>
      <c r="B694" s="531"/>
      <c r="C694" s="531"/>
      <c r="D694" s="531"/>
      <c r="E694" s="531"/>
      <c r="F694" s="531"/>
      <c r="G694" s="531"/>
      <c r="H694" s="531"/>
      <c r="I694" s="531"/>
      <c r="J694" s="531"/>
      <c r="K694" s="531"/>
      <c r="L694" s="531"/>
      <c r="M694" s="531"/>
      <c r="N694" s="531"/>
      <c r="O694" s="531"/>
      <c r="P694" s="531"/>
      <c r="Q694" s="531"/>
      <c r="R694" s="531"/>
      <c r="S694" s="531"/>
      <c r="T694" s="531"/>
      <c r="U694" s="531"/>
      <c r="V694" s="531"/>
      <c r="W694" s="531"/>
      <c r="X694" s="531"/>
      <c r="Y694" s="531"/>
      <c r="Z694" s="531"/>
      <c r="AA694" s="531"/>
    </row>
    <row r="695" spans="1:27" s="1" customFormat="1">
      <c r="A695" s="531"/>
      <c r="B695" s="531"/>
      <c r="C695" s="531"/>
      <c r="D695" s="531"/>
      <c r="E695" s="531"/>
      <c r="F695" s="531"/>
      <c r="G695" s="531"/>
      <c r="H695" s="531"/>
      <c r="I695" s="531"/>
      <c r="J695" s="531"/>
      <c r="K695" s="531"/>
      <c r="L695" s="531"/>
      <c r="M695" s="531"/>
      <c r="N695" s="531"/>
      <c r="O695" s="531"/>
      <c r="P695" s="531"/>
      <c r="Q695" s="531"/>
      <c r="R695" s="531"/>
      <c r="S695" s="531"/>
      <c r="T695" s="531"/>
      <c r="U695" s="531"/>
      <c r="V695" s="531"/>
      <c r="W695" s="531"/>
      <c r="X695" s="531"/>
      <c r="Y695" s="531"/>
      <c r="Z695" s="531"/>
      <c r="AA695" s="531"/>
    </row>
    <row r="696" spans="1:27" s="1" customFormat="1">
      <c r="A696" s="531"/>
      <c r="B696" s="531"/>
      <c r="C696" s="531"/>
      <c r="D696" s="531"/>
      <c r="E696" s="531"/>
      <c r="F696" s="531"/>
      <c r="G696" s="531"/>
      <c r="H696" s="531"/>
      <c r="I696" s="531"/>
      <c r="J696" s="531"/>
      <c r="K696" s="531"/>
      <c r="L696" s="531"/>
      <c r="M696" s="531"/>
      <c r="N696" s="531"/>
      <c r="O696" s="531"/>
      <c r="P696" s="531"/>
      <c r="Q696" s="531"/>
      <c r="R696" s="531"/>
      <c r="S696" s="531"/>
      <c r="T696" s="531"/>
      <c r="U696" s="531"/>
      <c r="V696" s="531"/>
      <c r="W696" s="531"/>
      <c r="X696" s="531"/>
      <c r="Y696" s="531"/>
      <c r="Z696" s="531"/>
      <c r="AA696" s="531"/>
    </row>
    <row r="697" spans="1:27" s="1" customFormat="1">
      <c r="A697" s="531"/>
      <c r="B697" s="531"/>
      <c r="C697" s="531"/>
      <c r="D697" s="531"/>
      <c r="E697" s="531"/>
      <c r="F697" s="531"/>
      <c r="G697" s="531"/>
      <c r="H697" s="531"/>
      <c r="I697" s="531"/>
      <c r="J697" s="531"/>
      <c r="K697" s="531"/>
      <c r="L697" s="531"/>
      <c r="M697" s="531"/>
      <c r="N697" s="531"/>
      <c r="O697" s="531"/>
      <c r="P697" s="531"/>
      <c r="Q697" s="531"/>
      <c r="R697" s="531"/>
      <c r="S697" s="531"/>
      <c r="T697" s="531"/>
      <c r="U697" s="531"/>
      <c r="V697" s="531"/>
      <c r="W697" s="531"/>
      <c r="X697" s="531"/>
      <c r="Y697" s="531"/>
      <c r="Z697" s="531"/>
      <c r="AA697" s="531"/>
    </row>
    <row r="698" spans="1:27" s="1" customFormat="1">
      <c r="A698" s="531"/>
      <c r="B698" s="531"/>
      <c r="C698" s="531"/>
      <c r="D698" s="531"/>
      <c r="E698" s="531"/>
      <c r="F698" s="531"/>
      <c r="G698" s="531"/>
      <c r="H698" s="531"/>
      <c r="I698" s="531"/>
      <c r="J698" s="531"/>
      <c r="K698" s="531"/>
      <c r="L698" s="531"/>
      <c r="M698" s="531"/>
      <c r="N698" s="531"/>
      <c r="O698" s="531"/>
      <c r="P698" s="531"/>
      <c r="Q698" s="531"/>
      <c r="R698" s="531"/>
      <c r="S698" s="531"/>
      <c r="T698" s="531"/>
      <c r="U698" s="531"/>
      <c r="V698" s="531"/>
      <c r="W698" s="531"/>
      <c r="X698" s="531"/>
      <c r="Y698" s="531"/>
      <c r="Z698" s="531"/>
      <c r="AA698" s="531"/>
    </row>
    <row r="699" spans="1:27" s="1" customFormat="1">
      <c r="A699" s="531"/>
      <c r="B699" s="531"/>
      <c r="C699" s="531"/>
      <c r="D699" s="531"/>
      <c r="E699" s="531"/>
      <c r="F699" s="531"/>
      <c r="G699" s="531"/>
      <c r="H699" s="531"/>
      <c r="I699" s="531"/>
      <c r="J699" s="531"/>
      <c r="K699" s="531"/>
      <c r="L699" s="531"/>
      <c r="M699" s="531"/>
      <c r="N699" s="531"/>
      <c r="O699" s="531"/>
      <c r="P699" s="531"/>
      <c r="Q699" s="531"/>
      <c r="R699" s="531"/>
      <c r="S699" s="531"/>
      <c r="T699" s="531"/>
      <c r="U699" s="531"/>
      <c r="V699" s="531"/>
      <c r="W699" s="531"/>
      <c r="X699" s="531"/>
      <c r="Y699" s="531"/>
      <c r="Z699" s="531"/>
      <c r="AA699" s="531"/>
    </row>
    <row r="700" spans="1:27" s="1" customFormat="1">
      <c r="A700" s="531"/>
      <c r="B700" s="531"/>
      <c r="C700" s="531"/>
      <c r="D700" s="531"/>
      <c r="E700" s="531"/>
      <c r="F700" s="531"/>
      <c r="G700" s="531"/>
      <c r="H700" s="531"/>
      <c r="I700" s="531"/>
      <c r="J700" s="531"/>
      <c r="K700" s="531"/>
      <c r="L700" s="531"/>
      <c r="M700" s="531"/>
      <c r="N700" s="531"/>
      <c r="O700" s="531"/>
      <c r="P700" s="531"/>
      <c r="Q700" s="531"/>
      <c r="R700" s="531"/>
      <c r="S700" s="531"/>
      <c r="T700" s="531"/>
      <c r="U700" s="531"/>
      <c r="V700" s="531"/>
      <c r="W700" s="531"/>
      <c r="X700" s="531"/>
      <c r="Y700" s="531"/>
      <c r="Z700" s="531"/>
      <c r="AA700" s="531"/>
    </row>
    <row r="701" spans="1:27" s="1" customFormat="1">
      <c r="A701" s="531"/>
      <c r="B701" s="531"/>
      <c r="C701" s="531"/>
      <c r="D701" s="531"/>
      <c r="E701" s="531"/>
      <c r="F701" s="531"/>
      <c r="G701" s="531"/>
      <c r="H701" s="531"/>
      <c r="I701" s="531"/>
      <c r="J701" s="531"/>
      <c r="K701" s="531"/>
      <c r="L701" s="531"/>
      <c r="M701" s="531"/>
      <c r="N701" s="531"/>
      <c r="O701" s="531"/>
      <c r="P701" s="531"/>
      <c r="Q701" s="531"/>
      <c r="R701" s="531"/>
      <c r="S701" s="531"/>
      <c r="T701" s="531"/>
      <c r="U701" s="531"/>
      <c r="V701" s="531"/>
      <c r="W701" s="531"/>
      <c r="X701" s="531"/>
      <c r="Y701" s="531"/>
      <c r="Z701" s="531"/>
      <c r="AA701" s="531"/>
    </row>
    <row r="702" spans="1:27" s="1" customFormat="1">
      <c r="A702" s="531"/>
      <c r="B702" s="531"/>
      <c r="C702" s="531"/>
      <c r="D702" s="531"/>
      <c r="E702" s="531"/>
      <c r="F702" s="531"/>
      <c r="G702" s="531"/>
      <c r="H702" s="531"/>
      <c r="I702" s="531"/>
      <c r="J702" s="531"/>
      <c r="K702" s="531"/>
      <c r="L702" s="531"/>
      <c r="M702" s="531"/>
      <c r="N702" s="531"/>
      <c r="O702" s="531"/>
      <c r="P702" s="531"/>
      <c r="Q702" s="531"/>
      <c r="R702" s="531"/>
      <c r="S702" s="531"/>
      <c r="T702" s="531"/>
      <c r="U702" s="531"/>
      <c r="V702" s="531"/>
      <c r="W702" s="531"/>
      <c r="X702" s="531"/>
      <c r="Y702" s="531"/>
      <c r="Z702" s="531"/>
      <c r="AA702" s="531"/>
    </row>
    <row r="703" spans="1:27" s="1" customFormat="1">
      <c r="A703" s="531"/>
      <c r="B703" s="531"/>
      <c r="C703" s="531"/>
      <c r="D703" s="531"/>
      <c r="E703" s="531"/>
      <c r="F703" s="531"/>
      <c r="G703" s="531"/>
      <c r="H703" s="531"/>
      <c r="I703" s="531"/>
      <c r="J703" s="531"/>
      <c r="K703" s="531"/>
      <c r="L703" s="531"/>
      <c r="M703" s="531"/>
      <c r="N703" s="531"/>
      <c r="O703" s="531"/>
      <c r="P703" s="531"/>
      <c r="Q703" s="531"/>
      <c r="R703" s="531"/>
      <c r="S703" s="531"/>
      <c r="T703" s="531"/>
      <c r="U703" s="531"/>
      <c r="V703" s="531"/>
      <c r="W703" s="531"/>
      <c r="X703" s="531"/>
      <c r="Y703" s="531"/>
      <c r="Z703" s="531"/>
      <c r="AA703" s="531"/>
    </row>
    <row r="704" spans="1:27" s="1" customFormat="1">
      <c r="A704" s="531"/>
      <c r="B704" s="531"/>
      <c r="C704" s="531"/>
      <c r="D704" s="531"/>
      <c r="E704" s="531"/>
      <c r="F704" s="531"/>
      <c r="G704" s="531"/>
      <c r="H704" s="531"/>
      <c r="I704" s="531"/>
      <c r="J704" s="531"/>
      <c r="K704" s="531"/>
      <c r="L704" s="531"/>
      <c r="M704" s="531"/>
      <c r="N704" s="531"/>
      <c r="O704" s="531"/>
      <c r="P704" s="531"/>
      <c r="Q704" s="531"/>
      <c r="R704" s="531"/>
      <c r="S704" s="531"/>
      <c r="T704" s="531"/>
      <c r="U704" s="531"/>
      <c r="V704" s="531"/>
      <c r="W704" s="531"/>
      <c r="X704" s="531"/>
      <c r="Y704" s="531"/>
      <c r="Z704" s="531"/>
      <c r="AA704" s="531"/>
    </row>
    <row r="705" spans="1:27" s="1" customFormat="1">
      <c r="A705" s="531"/>
      <c r="B705" s="531"/>
      <c r="C705" s="531"/>
      <c r="D705" s="531"/>
      <c r="E705" s="531"/>
      <c r="F705" s="531"/>
      <c r="G705" s="531"/>
      <c r="H705" s="531"/>
      <c r="I705" s="531"/>
      <c r="J705" s="531"/>
      <c r="K705" s="531"/>
      <c r="L705" s="531"/>
      <c r="M705" s="531"/>
      <c r="N705" s="531"/>
      <c r="O705" s="531"/>
      <c r="P705" s="531"/>
      <c r="Q705" s="531"/>
      <c r="R705" s="531"/>
      <c r="S705" s="531"/>
      <c r="T705" s="531"/>
      <c r="U705" s="531"/>
      <c r="V705" s="531"/>
      <c r="W705" s="531"/>
      <c r="X705" s="531"/>
      <c r="Y705" s="531"/>
      <c r="Z705" s="531"/>
      <c r="AA705" s="531"/>
    </row>
    <row r="706" spans="1:27" s="1" customFormat="1">
      <c r="A706" s="531"/>
      <c r="B706" s="531"/>
      <c r="C706" s="531"/>
      <c r="D706" s="531"/>
      <c r="E706" s="531"/>
      <c r="F706" s="531"/>
      <c r="G706" s="531"/>
      <c r="H706" s="531"/>
      <c r="I706" s="531"/>
      <c r="J706" s="531"/>
      <c r="K706" s="531"/>
      <c r="L706" s="531"/>
      <c r="M706" s="531"/>
      <c r="N706" s="531"/>
      <c r="O706" s="531"/>
      <c r="P706" s="531"/>
      <c r="Q706" s="531"/>
      <c r="R706" s="531"/>
      <c r="S706" s="531"/>
      <c r="T706" s="531"/>
      <c r="U706" s="531"/>
      <c r="V706" s="531"/>
      <c r="W706" s="531"/>
      <c r="X706" s="531"/>
      <c r="Y706" s="531"/>
      <c r="Z706" s="531"/>
      <c r="AA706" s="531"/>
    </row>
    <row r="707" spans="1:27" s="1" customFormat="1">
      <c r="A707" s="531"/>
      <c r="B707" s="531"/>
      <c r="C707" s="531"/>
      <c r="D707" s="531"/>
      <c r="E707" s="531"/>
      <c r="F707" s="531"/>
      <c r="G707" s="531"/>
      <c r="H707" s="531"/>
      <c r="I707" s="531"/>
      <c r="J707" s="531"/>
      <c r="K707" s="531"/>
      <c r="L707" s="531"/>
      <c r="M707" s="531"/>
      <c r="N707" s="531"/>
      <c r="O707" s="531"/>
      <c r="P707" s="531"/>
      <c r="Q707" s="531"/>
      <c r="R707" s="531"/>
      <c r="S707" s="531"/>
      <c r="T707" s="531"/>
      <c r="U707" s="531"/>
      <c r="V707" s="531"/>
      <c r="W707" s="531"/>
      <c r="X707" s="531"/>
      <c r="Y707" s="531"/>
      <c r="Z707" s="531"/>
      <c r="AA707" s="531"/>
    </row>
    <row r="708" spans="1:27" s="1" customFormat="1">
      <c r="A708" s="531"/>
      <c r="B708" s="531"/>
      <c r="C708" s="531"/>
      <c r="D708" s="531"/>
      <c r="E708" s="531"/>
      <c r="F708" s="531"/>
      <c r="G708" s="531"/>
      <c r="H708" s="531"/>
      <c r="I708" s="531"/>
      <c r="J708" s="531"/>
      <c r="K708" s="531"/>
      <c r="L708" s="531"/>
      <c r="M708" s="531"/>
      <c r="N708" s="531"/>
      <c r="O708" s="531"/>
      <c r="P708" s="531"/>
      <c r="Q708" s="531"/>
      <c r="R708" s="531"/>
      <c r="S708" s="531"/>
      <c r="T708" s="531"/>
      <c r="U708" s="531"/>
      <c r="V708" s="531"/>
      <c r="W708" s="531"/>
      <c r="X708" s="531"/>
      <c r="Y708" s="531"/>
      <c r="Z708" s="531"/>
      <c r="AA708" s="531"/>
    </row>
    <row r="709" spans="1:27" s="1" customFormat="1">
      <c r="A709" s="531"/>
      <c r="B709" s="531"/>
      <c r="C709" s="531"/>
      <c r="D709" s="531"/>
      <c r="E709" s="531"/>
      <c r="F709" s="531"/>
      <c r="G709" s="531"/>
      <c r="H709" s="531"/>
      <c r="I709" s="531"/>
      <c r="J709" s="531"/>
      <c r="K709" s="531"/>
      <c r="L709" s="531"/>
      <c r="M709" s="531"/>
      <c r="N709" s="531"/>
      <c r="O709" s="531"/>
      <c r="P709" s="531"/>
      <c r="Q709" s="531"/>
      <c r="R709" s="531"/>
      <c r="S709" s="531"/>
      <c r="T709" s="531"/>
      <c r="U709" s="531"/>
      <c r="V709" s="531"/>
      <c r="W709" s="531"/>
      <c r="X709" s="531"/>
      <c r="Y709" s="531"/>
      <c r="Z709" s="531"/>
      <c r="AA709" s="531"/>
    </row>
    <row r="710" spans="1:27" s="1" customFormat="1">
      <c r="A710" s="531"/>
      <c r="B710" s="531"/>
      <c r="C710" s="531"/>
      <c r="D710" s="531"/>
      <c r="E710" s="531"/>
      <c r="F710" s="531"/>
      <c r="G710" s="531"/>
      <c r="H710" s="531"/>
      <c r="I710" s="531"/>
      <c r="J710" s="531"/>
      <c r="K710" s="531"/>
      <c r="L710" s="531"/>
      <c r="M710" s="531"/>
      <c r="N710" s="531"/>
      <c r="O710" s="531"/>
      <c r="P710" s="531"/>
      <c r="Q710" s="531"/>
      <c r="R710" s="531"/>
      <c r="S710" s="531"/>
      <c r="T710" s="531"/>
      <c r="U710" s="531"/>
      <c r="V710" s="531"/>
      <c r="W710" s="531"/>
      <c r="X710" s="531"/>
      <c r="Y710" s="531"/>
      <c r="Z710" s="531"/>
      <c r="AA710" s="531"/>
    </row>
    <row r="711" spans="1:27" s="1" customFormat="1">
      <c r="A711" s="531"/>
      <c r="B711" s="531"/>
      <c r="C711" s="531"/>
      <c r="D711" s="531"/>
      <c r="E711" s="531"/>
      <c r="F711" s="531"/>
      <c r="G711" s="531"/>
      <c r="H711" s="531"/>
      <c r="I711" s="531"/>
      <c r="J711" s="531"/>
      <c r="K711" s="531"/>
      <c r="L711" s="531"/>
      <c r="M711" s="531"/>
      <c r="N711" s="531"/>
      <c r="O711" s="531"/>
      <c r="P711" s="531"/>
      <c r="Q711" s="531"/>
      <c r="R711" s="531"/>
      <c r="S711" s="531"/>
      <c r="T711" s="531"/>
      <c r="U711" s="531"/>
      <c r="V711" s="531"/>
      <c r="W711" s="531"/>
      <c r="X711" s="531"/>
      <c r="Y711" s="531"/>
      <c r="Z711" s="531"/>
      <c r="AA711" s="531"/>
    </row>
    <row r="712" spans="1:27" s="1" customFormat="1">
      <c r="A712" s="531"/>
      <c r="B712" s="531"/>
      <c r="C712" s="531"/>
      <c r="D712" s="531"/>
      <c r="E712" s="531"/>
      <c r="F712" s="531"/>
      <c r="G712" s="531"/>
      <c r="H712" s="531"/>
      <c r="I712" s="531"/>
      <c r="J712" s="531"/>
      <c r="K712" s="531"/>
      <c r="L712" s="531"/>
      <c r="M712" s="531"/>
      <c r="N712" s="531"/>
      <c r="O712" s="531"/>
      <c r="P712" s="531"/>
      <c r="Q712" s="531"/>
      <c r="R712" s="531"/>
      <c r="S712" s="531"/>
      <c r="T712" s="531"/>
      <c r="U712" s="531"/>
      <c r="V712" s="531"/>
      <c r="W712" s="531"/>
      <c r="X712" s="531"/>
      <c r="Y712" s="531"/>
      <c r="Z712" s="531"/>
      <c r="AA712" s="531"/>
    </row>
    <row r="713" spans="1:27" s="1" customFormat="1">
      <c r="A713" s="531"/>
      <c r="B713" s="531"/>
      <c r="C713" s="531"/>
      <c r="D713" s="531"/>
      <c r="E713" s="531"/>
      <c r="F713" s="531"/>
      <c r="G713" s="531"/>
      <c r="H713" s="531"/>
      <c r="I713" s="531"/>
      <c r="J713" s="531"/>
      <c r="K713" s="531"/>
      <c r="L713" s="531"/>
      <c r="M713" s="531"/>
      <c r="N713" s="531"/>
      <c r="O713" s="531"/>
      <c r="P713" s="531"/>
      <c r="Q713" s="531"/>
      <c r="R713" s="531"/>
      <c r="S713" s="531"/>
      <c r="T713" s="531"/>
      <c r="U713" s="531"/>
      <c r="V713" s="531"/>
      <c r="W713" s="531"/>
      <c r="X713" s="531"/>
      <c r="Y713" s="531"/>
      <c r="Z713" s="531"/>
      <c r="AA713" s="531"/>
    </row>
    <row r="714" spans="1:27" s="1" customFormat="1">
      <c r="A714" s="531"/>
      <c r="B714" s="531"/>
      <c r="C714" s="531"/>
      <c r="D714" s="531"/>
      <c r="E714" s="531"/>
      <c r="F714" s="531"/>
      <c r="G714" s="531"/>
      <c r="H714" s="531"/>
      <c r="I714" s="531"/>
      <c r="J714" s="531"/>
      <c r="K714" s="531"/>
      <c r="L714" s="531"/>
      <c r="M714" s="531"/>
      <c r="N714" s="531"/>
      <c r="O714" s="531"/>
      <c r="P714" s="531"/>
      <c r="Q714" s="531"/>
      <c r="R714" s="531"/>
      <c r="S714" s="531"/>
      <c r="T714" s="531"/>
      <c r="U714" s="531"/>
      <c r="V714" s="531"/>
      <c r="W714" s="531"/>
      <c r="X714" s="531"/>
      <c r="Y714" s="531"/>
      <c r="Z714" s="531"/>
      <c r="AA714" s="531"/>
    </row>
    <row r="715" spans="1:27" s="1" customFormat="1">
      <c r="A715" s="531"/>
      <c r="B715" s="531"/>
      <c r="C715" s="531"/>
      <c r="D715" s="531"/>
      <c r="E715" s="531"/>
      <c r="F715" s="531"/>
      <c r="G715" s="531"/>
      <c r="H715" s="531"/>
      <c r="I715" s="531"/>
      <c r="J715" s="531"/>
      <c r="K715" s="531"/>
      <c r="L715" s="531"/>
      <c r="M715" s="531"/>
      <c r="N715" s="531"/>
      <c r="O715" s="531"/>
      <c r="P715" s="531"/>
      <c r="Q715" s="531"/>
      <c r="R715" s="531"/>
      <c r="S715" s="531"/>
      <c r="T715" s="531"/>
      <c r="U715" s="531"/>
      <c r="V715" s="531"/>
      <c r="W715" s="531"/>
      <c r="X715" s="531"/>
      <c r="Y715" s="531"/>
      <c r="Z715" s="531"/>
      <c r="AA715" s="531"/>
    </row>
    <row r="716" spans="1:27" s="1" customFormat="1">
      <c r="A716" s="531"/>
      <c r="B716" s="531"/>
      <c r="C716" s="531"/>
      <c r="D716" s="531"/>
      <c r="E716" s="531"/>
      <c r="F716" s="531"/>
      <c r="G716" s="531"/>
      <c r="H716" s="531"/>
      <c r="I716" s="531"/>
      <c r="J716" s="531"/>
      <c r="K716" s="531"/>
      <c r="L716" s="531"/>
      <c r="M716" s="531"/>
      <c r="N716" s="531"/>
      <c r="O716" s="531"/>
      <c r="P716" s="531"/>
      <c r="Q716" s="531"/>
      <c r="R716" s="531"/>
      <c r="S716" s="531"/>
      <c r="T716" s="531"/>
      <c r="U716" s="531"/>
      <c r="V716" s="531"/>
      <c r="W716" s="531"/>
      <c r="X716" s="531"/>
      <c r="Y716" s="531"/>
      <c r="Z716" s="531"/>
      <c r="AA716" s="531"/>
    </row>
    <row r="717" spans="1:27" s="1" customFormat="1">
      <c r="A717" s="531"/>
      <c r="B717" s="531"/>
      <c r="C717" s="531"/>
      <c r="D717" s="531"/>
      <c r="E717" s="531"/>
      <c r="F717" s="531"/>
      <c r="G717" s="531"/>
      <c r="H717" s="531"/>
      <c r="I717" s="531"/>
      <c r="J717" s="531"/>
      <c r="K717" s="531"/>
      <c r="L717" s="531"/>
      <c r="M717" s="531"/>
      <c r="N717" s="531"/>
      <c r="O717" s="531"/>
      <c r="P717" s="531"/>
      <c r="Q717" s="531"/>
      <c r="R717" s="531"/>
      <c r="S717" s="531"/>
      <c r="T717" s="531"/>
      <c r="U717" s="531"/>
      <c r="V717" s="531"/>
      <c r="W717" s="531"/>
      <c r="X717" s="531"/>
      <c r="Y717" s="531"/>
      <c r="Z717" s="531"/>
      <c r="AA717" s="531"/>
    </row>
    <row r="718" spans="1:27" s="1" customFormat="1">
      <c r="A718" s="531"/>
      <c r="B718" s="531"/>
      <c r="C718" s="531"/>
      <c r="D718" s="531"/>
      <c r="E718" s="531"/>
      <c r="F718" s="531"/>
      <c r="G718" s="531"/>
      <c r="H718" s="531"/>
      <c r="I718" s="531"/>
      <c r="J718" s="531"/>
      <c r="K718" s="531"/>
      <c r="L718" s="531"/>
      <c r="M718" s="531"/>
      <c r="N718" s="531"/>
      <c r="O718" s="531"/>
      <c r="P718" s="531"/>
      <c r="Q718" s="531"/>
      <c r="R718" s="531"/>
      <c r="S718" s="531"/>
      <c r="T718" s="531"/>
      <c r="U718" s="531"/>
      <c r="V718" s="531"/>
      <c r="W718" s="531"/>
      <c r="X718" s="531"/>
      <c r="Y718" s="531"/>
      <c r="Z718" s="531"/>
      <c r="AA718" s="531"/>
    </row>
    <row r="719" spans="1:27" s="1" customFormat="1">
      <c r="A719" s="531"/>
      <c r="B719" s="531"/>
      <c r="C719" s="531"/>
      <c r="D719" s="531"/>
      <c r="E719" s="531"/>
      <c r="F719" s="531"/>
      <c r="G719" s="531"/>
      <c r="H719" s="531"/>
      <c r="I719" s="531"/>
      <c r="J719" s="531"/>
      <c r="K719" s="531"/>
      <c r="L719" s="531"/>
      <c r="M719" s="531"/>
      <c r="N719" s="531"/>
      <c r="O719" s="531"/>
      <c r="P719" s="531"/>
      <c r="Q719" s="531"/>
      <c r="R719" s="531"/>
      <c r="S719" s="531"/>
      <c r="T719" s="531"/>
      <c r="U719" s="531"/>
      <c r="V719" s="531"/>
      <c r="W719" s="531"/>
      <c r="X719" s="531"/>
      <c r="Y719" s="531"/>
      <c r="Z719" s="531"/>
      <c r="AA719" s="531"/>
    </row>
    <row r="720" spans="1:27"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pans="1:11" s="1" customFormat="1"/>
    <row r="946" spans="1:11" s="1" customFormat="1"/>
    <row r="947" spans="1:11" s="1" customFormat="1">
      <c r="A947" s="65"/>
      <c r="B947" s="65"/>
      <c r="C947" s="65"/>
      <c r="D947" s="65"/>
      <c r="E947" s="65"/>
      <c r="F947" s="65"/>
      <c r="G947" s="65"/>
      <c r="H947" s="65"/>
      <c r="I947" s="65"/>
      <c r="J947" s="65"/>
      <c r="K947" s="65"/>
    </row>
  </sheetData>
  <sheetProtection algorithmName="SHA-512" hashValue="4aQ5JN5h5L+5XfrCYmQ7lQCYFdNATOYa50A8psJ0gGVCzHsUJ17i7gQKuV+EfYLdXMeoNLN0PsD0SkJ8OO2HCw==" saltValue="y1hbu/wgHpz7QWbxTjU83A==" spinCount="100000" sheet="1" objects="1" scenarios="1" selectLockedCells="1"/>
  <customSheetViews>
    <customSheetView guid="{39DD0EDE-63E7-470F-AA9E-0FA02F254C3F}" scale="85" showGridLines="0" outlineSymbols="0" zeroValues="0" state="hidden">
      <selection activeCell="N40" sqref="N40"/>
      <rowBreaks count="6" manualBreakCount="6">
        <brk id="56" max="16383" man="1"/>
        <brk id="107" max="16383" man="1"/>
        <brk id="149" max="16383" man="1"/>
        <brk id="195" max="16383" man="1"/>
        <brk id="238" max="16383" man="1"/>
        <brk id="284" max="16383" man="1"/>
      </rowBreaks>
      <pageMargins left="0.81" right="0.7" top="0.98425196850393704" bottom="0.98425196850393704" header="0.51181102362204722" footer="0.51181102362204722"/>
      <pageSetup paperSize="9" orientation="portrait" r:id="rId1"/>
      <headerFooter alignWithMargins="0">
        <oddHeader>&amp;C&amp;G</oddHeader>
        <oddFooter>&amp;CSeite &amp;P von &amp;N</oddFooter>
      </headerFooter>
    </customSheetView>
  </customSheetViews>
  <mergeCells count="88">
    <mergeCell ref="C110:H110"/>
    <mergeCell ref="G92:H92"/>
    <mergeCell ref="C99:H99"/>
    <mergeCell ref="A112:J112"/>
    <mergeCell ref="A325:J325"/>
    <mergeCell ref="A113:J113"/>
    <mergeCell ref="A119:J119"/>
    <mergeCell ref="A155:J155"/>
    <mergeCell ref="A185:J185"/>
    <mergeCell ref="A194:J194"/>
    <mergeCell ref="B116:I116"/>
    <mergeCell ref="A227:J227"/>
    <mergeCell ref="A252:J252"/>
    <mergeCell ref="A288:J288"/>
    <mergeCell ref="A318:J318"/>
    <mergeCell ref="A7:J7"/>
    <mergeCell ref="A376:J376"/>
    <mergeCell ref="C90:H90"/>
    <mergeCell ref="A243:J243"/>
    <mergeCell ref="A192:J192"/>
    <mergeCell ref="A250:J250"/>
    <mergeCell ref="G58:J58"/>
    <mergeCell ref="A62:J62"/>
    <mergeCell ref="A88:J88"/>
    <mergeCell ref="A115:J115"/>
    <mergeCell ref="A117:J117"/>
    <mergeCell ref="G60:J60"/>
    <mergeCell ref="G59:J59"/>
    <mergeCell ref="G83:H83"/>
    <mergeCell ref="A58:E58"/>
    <mergeCell ref="G61:J61"/>
    <mergeCell ref="A516:J516"/>
    <mergeCell ref="A591:J591"/>
    <mergeCell ref="A584:J584"/>
    <mergeCell ref="A593:J593"/>
    <mergeCell ref="A626:J626"/>
    <mergeCell ref="G55:J55"/>
    <mergeCell ref="G57:J57"/>
    <mergeCell ref="B9:J9"/>
    <mergeCell ref="C36:E36"/>
    <mergeCell ref="B41:C41"/>
    <mergeCell ref="B40:C40"/>
    <mergeCell ref="B52:C52"/>
    <mergeCell ref="B55:C55"/>
    <mergeCell ref="A32:E32"/>
    <mergeCell ref="A35:E35"/>
    <mergeCell ref="A47:E47"/>
    <mergeCell ref="G32:J32"/>
    <mergeCell ref="A46:E46"/>
    <mergeCell ref="D50:E50"/>
    <mergeCell ref="I5:J5"/>
    <mergeCell ref="I1:J1"/>
    <mergeCell ref="I2:J2"/>
    <mergeCell ref="I3:J3"/>
    <mergeCell ref="I4:J4"/>
    <mergeCell ref="C1:G1"/>
    <mergeCell ref="C2:G2"/>
    <mergeCell ref="C4:G4"/>
    <mergeCell ref="C5:G5"/>
    <mergeCell ref="C3:G3"/>
    <mergeCell ref="C81:H81"/>
    <mergeCell ref="C83:D83"/>
    <mergeCell ref="C101:H101"/>
    <mergeCell ref="C103:D103"/>
    <mergeCell ref="G103:H103"/>
    <mergeCell ref="C92:D92"/>
    <mergeCell ref="B64:J64"/>
    <mergeCell ref="B68:J68"/>
    <mergeCell ref="C74:H74"/>
    <mergeCell ref="C76:D76"/>
    <mergeCell ref="G76:H76"/>
    <mergeCell ref="A72:J72"/>
    <mergeCell ref="A649:J649"/>
    <mergeCell ref="B651:J651"/>
    <mergeCell ref="B662:J662"/>
    <mergeCell ref="A327:J327"/>
    <mergeCell ref="A383:J383"/>
    <mergeCell ref="A360:J360"/>
    <mergeCell ref="A385:J385"/>
    <mergeCell ref="A642:J642"/>
    <mergeCell ref="A509:J509"/>
    <mergeCell ref="A421:J421"/>
    <mergeCell ref="A451:J451"/>
    <mergeCell ref="A460:J460"/>
    <mergeCell ref="A493:J493"/>
    <mergeCell ref="A518:J518"/>
    <mergeCell ref="A554:J554"/>
    <mergeCell ref="A458:J458"/>
  </mergeCells>
  <phoneticPr fontId="25" type="noConversion"/>
  <conditionalFormatting sqref="B87 K86:K87">
    <cfRule type="cellIs" dxfId="32" priority="17" operator="equal">
      <formula>"Verankerung ist nicht zulässig"</formula>
    </cfRule>
    <cfRule type="cellIs" dxfId="31" priority="18" operator="equal">
      <formula>"Verankerung ist zulässig"</formula>
    </cfRule>
  </conditionalFormatting>
  <conditionalFormatting sqref="B114:K114">
    <cfRule type="cellIs" dxfId="30" priority="15" operator="equal">
      <formula>"Verankerung ist nicht zulässig"</formula>
    </cfRule>
    <cfRule type="cellIs" dxfId="29" priority="16" operator="equal">
      <formula>"Verankerung ist zulässig"</formula>
    </cfRule>
  </conditionalFormatting>
  <conditionalFormatting sqref="C98">
    <cfRule type="expression" dxfId="28" priority="14">
      <formula>$C$98&gt;100</formula>
    </cfRule>
  </conditionalFormatting>
  <conditionalFormatting sqref="D98">
    <cfRule type="expression" dxfId="27" priority="13">
      <formula>$D$98&gt;100</formula>
    </cfRule>
  </conditionalFormatting>
  <conditionalFormatting sqref="G98">
    <cfRule type="expression" dxfId="26" priority="12">
      <formula>$G$98&gt;100</formula>
    </cfRule>
  </conditionalFormatting>
  <conditionalFormatting sqref="H98">
    <cfRule type="expression" dxfId="25" priority="11">
      <formula>$H$98&gt;100</formula>
    </cfRule>
  </conditionalFormatting>
  <conditionalFormatting sqref="C99:H99">
    <cfRule type="expression" dxfId="24" priority="10">
      <formula>$C$99="Verankerung Mittelbereich nicht zulässig"</formula>
    </cfRule>
  </conditionalFormatting>
  <conditionalFormatting sqref="C109">
    <cfRule type="expression" dxfId="23" priority="9">
      <formula>$C$109&gt;100</formula>
    </cfRule>
  </conditionalFormatting>
  <conditionalFormatting sqref="D109">
    <cfRule type="expression" dxfId="22" priority="8">
      <formula>$D$109&gt;100</formula>
    </cfRule>
  </conditionalFormatting>
  <conditionalFormatting sqref="G109">
    <cfRule type="expression" dxfId="21" priority="7">
      <formula>$G$109&gt;100</formula>
    </cfRule>
  </conditionalFormatting>
  <conditionalFormatting sqref="H109">
    <cfRule type="expression" dxfId="20" priority="6">
      <formula>$H$109&gt;100</formula>
    </cfRule>
  </conditionalFormatting>
  <conditionalFormatting sqref="C110:H110">
    <cfRule type="expression" dxfId="19" priority="5">
      <formula>$C$110="Verankerung Randbereich nicht zulässig"</formula>
    </cfRule>
  </conditionalFormatting>
  <conditionalFormatting sqref="G59:J59">
    <cfRule type="cellIs" dxfId="18" priority="4" operator="equal">
      <formula>"Falsche Dimension Kopfbolzen"</formula>
    </cfRule>
  </conditionalFormatting>
  <printOptions horizontalCentered="1"/>
  <pageMargins left="0.78740157480314965" right="0.51181102362204722" top="0.98425196850393704" bottom="0.78740157480314965" header="0.51181102362204722" footer="0.51181102362204722"/>
  <pageSetup paperSize="9" scale="92" orientation="portrait" r:id="rId2"/>
  <headerFooter alignWithMargins="0">
    <oddHeader>&amp;C&amp;G</oddHeader>
    <oddFooter>&amp;CSeite &amp;P von &amp;N</oddFooter>
  </headerFooter>
  <rowBreaks count="12" manualBreakCount="12">
    <brk id="61" max="16383" man="1"/>
    <brk id="114" max="9" man="1"/>
    <brk id="162" max="9" man="1"/>
    <brk id="210" max="9" man="1"/>
    <brk id="248" max="9" man="1"/>
    <brk id="287" max="9" man="1"/>
    <brk id="343" max="9" man="1"/>
    <brk id="407" max="9" man="1"/>
    <brk id="457" max="9" man="1"/>
    <brk id="515" max="9" man="1"/>
    <brk id="569" max="9" man="1"/>
    <brk id="625" max="9" man="1"/>
  </rowBreaks>
  <ignoredErrors>
    <ignoredError sqref="D78 D85 D95 D106" unlockedFormula="1"/>
  </ignoredError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 id="{8B206B34-A163-46E5-BEB3-FDF650E84CB7}">
            <xm:f>Eingabe!AC32=1</xm:f>
            <x14:dxf>
              <font>
                <b/>
                <i val="0"/>
                <color theme="1"/>
              </font>
              <fill>
                <patternFill>
                  <bgColor rgb="FFC00000"/>
                </patternFill>
              </fill>
            </x14:dxf>
          </x14:cfRule>
          <xm:sqref>A46:E46</xm:sqref>
        </x14:conditionalFormatting>
        <x14:conditionalFormatting xmlns:xm="http://schemas.microsoft.com/office/excel/2006/main">
          <x14:cfRule type="expression" priority="2" id="{8B5E755B-E9B5-4F1D-BB57-6483F97BC5FA}">
            <xm:f>Eingabe!N2=0</xm:f>
            <x14:dxf>
              <font>
                <color theme="0"/>
              </font>
            </x14:dxf>
          </x14:cfRule>
          <xm:sqref>B50:E50</xm:sqref>
        </x14:conditionalFormatting>
        <x14:conditionalFormatting xmlns:xm="http://schemas.microsoft.com/office/excel/2006/main">
          <x14:cfRule type="expression" priority="1" id="{5301B92B-CB3A-4FDC-B78B-7BD09400A589}">
            <xm:f>Eingabe!N2=0</xm:f>
            <x14:dxf>
              <font>
                <color theme="0"/>
              </font>
            </x14:dxf>
          </x14:cfRule>
          <xm:sqref>D50:E50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C00000"/>
  </sheetPr>
  <dimension ref="A1:W480"/>
  <sheetViews>
    <sheetView showGridLines="0" showRowColHeaders="0" showZeros="0" showOutlineSymbols="0" topLeftCell="A18" zoomScaleNormal="100" zoomScaleSheetLayoutView="100" workbookViewId="0">
      <selection activeCell="S422" sqref="S422"/>
    </sheetView>
  </sheetViews>
  <sheetFormatPr baseColWidth="10" defaultColWidth="11.33203125" defaultRowHeight="12.7"/>
  <cols>
    <col min="1" max="1" width="1.33203125" style="65" customWidth="1"/>
    <col min="2" max="4" width="12" style="65" customWidth="1"/>
    <col min="5" max="5" width="5" style="65" customWidth="1"/>
    <col min="6" max="6" width="1.33203125" style="65" customWidth="1"/>
    <col min="7" max="9" width="12" style="65" customWidth="1"/>
    <col min="10" max="10" width="6.88671875" style="65" customWidth="1"/>
    <col min="11" max="11" width="19.109375" style="65" customWidth="1"/>
    <col min="12" max="12" width="4" style="65" customWidth="1"/>
    <col min="13" max="13" width="144.6640625" style="65" customWidth="1"/>
    <col min="14" max="15" width="12" style="65" customWidth="1"/>
    <col min="16" max="16" width="5" style="65" customWidth="1"/>
    <col min="17" max="17" width="1.33203125" style="65" customWidth="1"/>
    <col min="18" max="20" width="12" style="65" customWidth="1"/>
    <col min="21" max="21" width="5" style="65" customWidth="1"/>
    <col min="22" max="22" width="1.33203125" style="65" customWidth="1"/>
    <col min="23" max="16384" width="11.33203125" style="65"/>
  </cols>
  <sheetData>
    <row r="1" spans="1:18">
      <c r="A1" s="349"/>
      <c r="B1" s="350" t="s">
        <v>54</v>
      </c>
      <c r="C1" s="1057"/>
      <c r="D1" s="1057"/>
      <c r="E1" s="1057"/>
      <c r="F1" s="1057"/>
      <c r="G1" s="1057"/>
      <c r="H1" s="351" t="s">
        <v>55</v>
      </c>
      <c r="I1" s="483"/>
      <c r="J1" s="484"/>
      <c r="K1" s="532"/>
      <c r="L1" s="531"/>
      <c r="M1" s="531"/>
      <c r="N1" s="531"/>
      <c r="O1" s="531"/>
      <c r="P1" s="531"/>
      <c r="Q1" s="531"/>
      <c r="R1" s="531"/>
    </row>
    <row r="2" spans="1:18">
      <c r="A2" s="352"/>
      <c r="B2" s="417" t="s">
        <v>56</v>
      </c>
      <c r="C2" s="1059"/>
      <c r="D2" s="1059"/>
      <c r="E2" s="1059"/>
      <c r="F2" s="1059"/>
      <c r="G2" s="1059"/>
      <c r="H2" s="537" t="s">
        <v>57</v>
      </c>
      <c r="I2" s="483"/>
      <c r="J2" s="484"/>
      <c r="K2" s="532"/>
      <c r="L2" s="531"/>
      <c r="M2" s="531"/>
      <c r="N2" s="531"/>
      <c r="O2" s="531"/>
      <c r="P2" s="531"/>
      <c r="Q2" s="531"/>
      <c r="R2" s="531"/>
    </row>
    <row r="3" spans="1:18">
      <c r="A3" s="349"/>
      <c r="B3" s="534" t="s">
        <v>58</v>
      </c>
      <c r="C3" s="1056"/>
      <c r="D3" s="1057"/>
      <c r="E3" s="1057"/>
      <c r="F3" s="1057"/>
      <c r="G3" s="1057"/>
      <c r="H3" s="536" t="s">
        <v>59</v>
      </c>
      <c r="I3" s="483"/>
      <c r="J3" s="484"/>
      <c r="K3" s="532"/>
      <c r="L3" s="531"/>
      <c r="M3" s="531"/>
      <c r="N3" s="531"/>
      <c r="O3" s="531"/>
      <c r="P3" s="531"/>
      <c r="Q3" s="531"/>
      <c r="R3" s="531"/>
    </row>
    <row r="4" spans="1:18">
      <c r="A4" s="349"/>
      <c r="B4" s="534" t="s">
        <v>60</v>
      </c>
      <c r="C4" s="1056"/>
      <c r="D4" s="1057"/>
      <c r="E4" s="1057"/>
      <c r="F4" s="1057"/>
      <c r="G4" s="1057"/>
      <c r="H4" s="536" t="s">
        <v>61</v>
      </c>
      <c r="I4" s="483"/>
      <c r="J4" s="484"/>
      <c r="K4" s="532"/>
      <c r="L4" s="531"/>
      <c r="M4" s="531"/>
      <c r="N4" s="531"/>
      <c r="O4" s="531"/>
      <c r="P4" s="531"/>
      <c r="Q4" s="531"/>
      <c r="R4" s="531"/>
    </row>
    <row r="5" spans="1:18">
      <c r="A5" s="353"/>
      <c r="B5" s="535" t="s">
        <v>62</v>
      </c>
      <c r="C5" s="1067"/>
      <c r="D5" s="1060"/>
      <c r="E5" s="1060"/>
      <c r="F5" s="1060"/>
      <c r="G5" s="1060"/>
      <c r="H5" s="538" t="s">
        <v>63</v>
      </c>
      <c r="I5" s="1109">
        <f ca="1">TODAY()</f>
        <v>44102</v>
      </c>
      <c r="J5" s="1110"/>
      <c r="K5" s="3"/>
      <c r="L5" s="531"/>
      <c r="M5" s="531"/>
      <c r="N5" s="531"/>
      <c r="O5" s="531"/>
      <c r="P5" s="531"/>
      <c r="Q5" s="531"/>
      <c r="R5" s="531"/>
    </row>
    <row r="6" spans="1:18" s="1" customFormat="1">
      <c r="A6" s="402"/>
      <c r="B6" s="531"/>
      <c r="C6" s="529"/>
      <c r="D6" s="529"/>
      <c r="E6" s="529"/>
      <c r="F6" s="529"/>
      <c r="G6" s="529"/>
      <c r="H6" s="531"/>
      <c r="I6" s="531"/>
      <c r="J6" s="531"/>
      <c r="K6" s="402"/>
      <c r="L6" s="402"/>
      <c r="M6" s="402"/>
      <c r="N6" s="531"/>
      <c r="O6" s="531"/>
      <c r="P6" s="531"/>
      <c r="Q6" s="531"/>
      <c r="R6" s="531"/>
    </row>
    <row r="7" spans="1:18" s="467" customFormat="1" ht="27.25" customHeight="1">
      <c r="A7" s="402"/>
      <c r="B7" s="1096" t="s">
        <v>539</v>
      </c>
      <c r="C7" s="1096"/>
      <c r="D7" s="1096"/>
      <c r="E7" s="1096"/>
      <c r="F7" s="1096"/>
      <c r="G7" s="1096"/>
      <c r="H7" s="1096"/>
      <c r="I7" s="1096"/>
      <c r="J7" s="1096"/>
      <c r="K7" s="402"/>
      <c r="L7" s="402"/>
      <c r="M7" s="402"/>
      <c r="N7" s="531"/>
      <c r="O7" s="531"/>
      <c r="P7" s="531"/>
      <c r="Q7" s="531"/>
      <c r="R7" s="531"/>
    </row>
    <row r="8" spans="1:18" s="1" customFormat="1" ht="5.9" customHeight="1">
      <c r="A8" s="402"/>
      <c r="B8" s="531"/>
      <c r="C8" s="282"/>
      <c r="D8" s="282"/>
      <c r="E8" s="282"/>
      <c r="F8" s="282"/>
      <c r="G8" s="282"/>
      <c r="H8" s="531"/>
      <c r="I8" s="531"/>
      <c r="J8" s="531"/>
      <c r="K8" s="402"/>
      <c r="L8" s="402"/>
      <c r="M8" s="402"/>
      <c r="N8" s="531"/>
      <c r="O8" s="531"/>
      <c r="P8" s="531"/>
      <c r="Q8" s="531"/>
      <c r="R8" s="531"/>
    </row>
    <row r="9" spans="1:18" s="1" customFormat="1" ht="15.55">
      <c r="A9" s="470"/>
      <c r="B9" s="1065" t="s">
        <v>70</v>
      </c>
      <c r="C9" s="1065"/>
      <c r="D9" s="1065"/>
      <c r="E9" s="1065"/>
      <c r="F9" s="1065"/>
      <c r="G9" s="1065"/>
      <c r="H9" s="1065"/>
      <c r="I9" s="1065"/>
      <c r="J9" s="1066"/>
      <c r="K9" s="518"/>
      <c r="L9" s="402"/>
      <c r="M9" s="402"/>
      <c r="N9" s="531"/>
      <c r="O9" s="531"/>
      <c r="P9" s="531"/>
      <c r="Q9" s="531"/>
      <c r="R9" s="531"/>
    </row>
    <row r="10" spans="1:18" s="1" customFormat="1" ht="2.2999999999999998" customHeight="1">
      <c r="A10" s="30"/>
      <c r="B10" s="402"/>
      <c r="C10" s="402"/>
      <c r="D10" s="525"/>
      <c r="E10" s="402"/>
      <c r="F10" s="402"/>
      <c r="G10" s="525"/>
      <c r="H10" s="402"/>
      <c r="I10" s="525"/>
      <c r="J10" s="31"/>
      <c r="K10" s="402"/>
      <c r="L10" s="402"/>
      <c r="M10" s="402"/>
      <c r="N10" s="531"/>
      <c r="O10" s="531"/>
      <c r="P10" s="531"/>
      <c r="Q10" s="531"/>
      <c r="R10" s="531"/>
    </row>
    <row r="11" spans="1:18" s="1" customFormat="1" ht="2.2999999999999998" customHeight="1">
      <c r="A11" s="7"/>
      <c r="B11" s="518"/>
      <c r="C11" s="518"/>
      <c r="D11" s="3"/>
      <c r="E11" s="518"/>
      <c r="F11" s="518"/>
      <c r="G11" s="3"/>
      <c r="H11" s="518"/>
      <c r="I11" s="3"/>
      <c r="J11" s="8"/>
      <c r="K11" s="518"/>
      <c r="L11" s="518"/>
      <c r="M11" s="518"/>
      <c r="N11" s="531"/>
      <c r="O11" s="531"/>
      <c r="P11" s="531"/>
      <c r="Q11" s="531"/>
      <c r="R11" s="531"/>
    </row>
    <row r="12" spans="1:18" s="1" customFormat="1">
      <c r="A12" s="7"/>
      <c r="B12" s="518"/>
      <c r="C12" s="518"/>
      <c r="D12" s="3"/>
      <c r="E12" s="518"/>
      <c r="F12" s="518"/>
      <c r="G12" s="3"/>
      <c r="H12" s="518"/>
      <c r="I12" s="3"/>
      <c r="J12" s="8"/>
      <c r="K12" s="518"/>
      <c r="L12" s="518"/>
      <c r="M12" s="518"/>
      <c r="N12" s="531"/>
      <c r="O12" s="531"/>
      <c r="P12" s="531"/>
      <c r="Q12" s="531"/>
      <c r="R12" s="531"/>
    </row>
    <row r="13" spans="1:18" s="1" customFormat="1">
      <c r="A13" s="7"/>
      <c r="B13" s="518"/>
      <c r="C13" s="518"/>
      <c r="D13" s="3"/>
      <c r="E13" s="518"/>
      <c r="F13" s="518"/>
      <c r="G13" s="3"/>
      <c r="H13" s="518"/>
      <c r="I13" s="3"/>
      <c r="J13" s="8"/>
      <c r="K13" s="518"/>
      <c r="L13" s="518"/>
      <c r="M13" s="518"/>
      <c r="N13" s="531"/>
      <c r="O13" s="531"/>
      <c r="P13" s="531"/>
      <c r="Q13" s="531"/>
      <c r="R13" s="531"/>
    </row>
    <row r="14" spans="1:18" s="1" customFormat="1">
      <c r="A14" s="7"/>
      <c r="B14" s="518"/>
      <c r="C14" s="518"/>
      <c r="D14" s="3"/>
      <c r="E14" s="518"/>
      <c r="F14" s="518"/>
      <c r="G14" s="3"/>
      <c r="H14" s="518"/>
      <c r="I14" s="3"/>
      <c r="J14" s="8"/>
      <c r="K14" s="518"/>
      <c r="L14" s="518"/>
      <c r="M14" s="518"/>
      <c r="N14" s="531"/>
      <c r="O14" s="531"/>
      <c r="P14" s="531"/>
      <c r="Q14" s="531"/>
      <c r="R14" s="531"/>
    </row>
    <row r="15" spans="1:18" s="1" customFormat="1">
      <c r="A15" s="7"/>
      <c r="B15" s="518"/>
      <c r="C15" s="518"/>
      <c r="D15" s="3"/>
      <c r="E15" s="518"/>
      <c r="F15" s="518"/>
      <c r="G15" s="3"/>
      <c r="H15" s="518"/>
      <c r="I15" s="3"/>
      <c r="J15" s="8"/>
      <c r="K15" s="518"/>
      <c r="L15" s="518"/>
      <c r="M15" s="518"/>
      <c r="N15" s="531"/>
      <c r="O15" s="531"/>
      <c r="P15" s="531"/>
      <c r="Q15" s="531"/>
      <c r="R15" s="531"/>
    </row>
    <row r="16" spans="1:18" s="1" customFormat="1">
      <c r="A16" s="7"/>
      <c r="B16" s="518"/>
      <c r="C16" s="518"/>
      <c r="D16" s="3"/>
      <c r="E16" s="518"/>
      <c r="F16" s="518"/>
      <c r="G16" s="3"/>
      <c r="H16" s="518"/>
      <c r="I16" s="3"/>
      <c r="J16" s="8"/>
      <c r="K16" s="518"/>
      <c r="L16" s="518"/>
      <c r="M16" s="518"/>
      <c r="N16" s="531"/>
      <c r="O16" s="531"/>
      <c r="P16" s="531"/>
      <c r="Q16" s="531"/>
      <c r="R16" s="531"/>
    </row>
    <row r="17" spans="1:18" s="1" customFormat="1">
      <c r="A17" s="7"/>
      <c r="B17" s="518"/>
      <c r="C17" s="518"/>
      <c r="D17" s="3"/>
      <c r="E17" s="518"/>
      <c r="F17" s="518"/>
      <c r="G17" s="3"/>
      <c r="H17" s="518"/>
      <c r="I17" s="3"/>
      <c r="J17" s="8"/>
      <c r="K17" s="518"/>
      <c r="L17" s="518"/>
      <c r="M17" s="518"/>
      <c r="N17" s="531"/>
      <c r="O17" s="531"/>
      <c r="P17" s="531"/>
      <c r="Q17" s="531"/>
      <c r="R17" s="531"/>
    </row>
    <row r="18" spans="1:18" s="1" customFormat="1">
      <c r="A18" s="7"/>
      <c r="B18" s="518"/>
      <c r="C18" s="518"/>
      <c r="D18" s="3"/>
      <c r="E18" s="518"/>
      <c r="F18" s="518"/>
      <c r="G18" s="3"/>
      <c r="H18" s="518"/>
      <c r="I18" s="3"/>
      <c r="J18" s="8"/>
      <c r="K18" s="518"/>
      <c r="L18" s="518"/>
      <c r="M18" s="518"/>
      <c r="N18" s="531"/>
      <c r="O18" s="531"/>
      <c r="P18" s="531"/>
      <c r="Q18" s="531"/>
      <c r="R18" s="531"/>
    </row>
    <row r="19" spans="1:18" s="1" customFormat="1">
      <c r="A19" s="7"/>
      <c r="B19" s="518"/>
      <c r="C19" s="518"/>
      <c r="D19" s="3"/>
      <c r="E19" s="518"/>
      <c r="F19" s="518"/>
      <c r="G19" s="3"/>
      <c r="H19" s="518"/>
      <c r="I19" s="3"/>
      <c r="J19" s="8"/>
      <c r="K19" s="518"/>
      <c r="L19" s="518"/>
      <c r="M19" s="518"/>
      <c r="N19" s="531"/>
      <c r="O19" s="531"/>
      <c r="P19" s="531"/>
      <c r="Q19" s="531"/>
      <c r="R19" s="531"/>
    </row>
    <row r="20" spans="1:18" s="1" customFormat="1">
      <c r="A20" s="7"/>
      <c r="B20" s="518"/>
      <c r="C20" s="518"/>
      <c r="D20" s="518"/>
      <c r="E20" s="518"/>
      <c r="F20" s="518"/>
      <c r="G20" s="518"/>
      <c r="H20" s="518"/>
      <c r="I20" s="518"/>
      <c r="J20" s="8"/>
      <c r="K20" s="518"/>
      <c r="L20" s="518"/>
      <c r="M20" s="518"/>
      <c r="N20" s="531"/>
      <c r="O20" s="531"/>
      <c r="P20" s="531"/>
      <c r="Q20" s="531"/>
      <c r="R20" s="531"/>
    </row>
    <row r="21" spans="1:18" s="1" customFormat="1">
      <c r="A21" s="7"/>
      <c r="B21" s="518"/>
      <c r="C21" s="518"/>
      <c r="D21" s="518"/>
      <c r="E21" s="518"/>
      <c r="F21" s="518"/>
      <c r="G21" s="518"/>
      <c r="H21" s="518"/>
      <c r="I21" s="518"/>
      <c r="J21" s="8"/>
      <c r="K21" s="518"/>
      <c r="L21" s="518"/>
      <c r="M21" s="518"/>
      <c r="N21" s="531"/>
      <c r="O21" s="531"/>
      <c r="P21" s="531"/>
      <c r="Q21" s="531"/>
      <c r="R21" s="531"/>
    </row>
    <row r="22" spans="1:18" s="1" customFormat="1">
      <c r="A22" s="7"/>
      <c r="B22" s="518"/>
      <c r="C22" s="518"/>
      <c r="D22" s="518"/>
      <c r="E22" s="518"/>
      <c r="F22" s="518"/>
      <c r="G22" s="518"/>
      <c r="H22" s="518"/>
      <c r="I22" s="518"/>
      <c r="J22" s="8"/>
      <c r="K22" s="518"/>
      <c r="L22" s="518"/>
      <c r="M22" s="518"/>
      <c r="N22" s="531"/>
      <c r="O22" s="531"/>
      <c r="P22" s="531"/>
      <c r="Q22" s="531"/>
      <c r="R22" s="531"/>
    </row>
    <row r="23" spans="1:18" s="1" customFormat="1">
      <c r="A23" s="7"/>
      <c r="B23" s="518"/>
      <c r="C23" s="518"/>
      <c r="D23" s="518"/>
      <c r="E23" s="518"/>
      <c r="F23" s="518"/>
      <c r="G23" s="518"/>
      <c r="H23" s="518"/>
      <c r="I23" s="518"/>
      <c r="J23" s="8"/>
      <c r="K23" s="518"/>
      <c r="L23" s="518"/>
      <c r="M23" s="518"/>
      <c r="N23" s="531"/>
      <c r="O23" s="531"/>
      <c r="P23" s="531"/>
      <c r="Q23" s="531"/>
      <c r="R23" s="531"/>
    </row>
    <row r="24" spans="1:18" s="1" customFormat="1">
      <c r="A24" s="7"/>
      <c r="B24" s="518"/>
      <c r="C24" s="518"/>
      <c r="D24" s="3"/>
      <c r="E24" s="518"/>
      <c r="F24" s="518"/>
      <c r="G24" s="3"/>
      <c r="H24" s="518"/>
      <c r="I24" s="3"/>
      <c r="J24" s="8"/>
      <c r="K24" s="518"/>
      <c r="L24" s="518"/>
      <c r="M24" s="518"/>
      <c r="N24" s="531"/>
      <c r="O24" s="531"/>
      <c r="P24" s="531"/>
      <c r="Q24" s="531"/>
      <c r="R24" s="531"/>
    </row>
    <row r="25" spans="1:18" s="1" customFormat="1">
      <c r="A25" s="7"/>
      <c r="B25" s="518"/>
      <c r="C25" s="518"/>
      <c r="D25" s="3"/>
      <c r="E25" s="518"/>
      <c r="F25" s="518"/>
      <c r="G25" s="3"/>
      <c r="H25" s="518"/>
      <c r="I25" s="3"/>
      <c r="J25" s="8"/>
      <c r="K25" s="518"/>
      <c r="L25" s="518"/>
      <c r="M25" s="518"/>
      <c r="N25" s="531"/>
      <c r="O25" s="531"/>
      <c r="P25" s="531"/>
      <c r="Q25" s="531"/>
      <c r="R25" s="531"/>
    </row>
    <row r="26" spans="1:18" s="1" customFormat="1">
      <c r="A26" s="7"/>
      <c r="B26" s="518"/>
      <c r="C26" s="518"/>
      <c r="D26" s="3"/>
      <c r="E26" s="518"/>
      <c r="F26" s="518"/>
      <c r="G26" s="3"/>
      <c r="H26" s="518"/>
      <c r="I26" s="3"/>
      <c r="J26" s="8"/>
      <c r="K26" s="518"/>
      <c r="L26" s="518"/>
      <c r="M26" s="518"/>
      <c r="N26" s="531"/>
      <c r="O26" s="531"/>
      <c r="P26" s="531"/>
      <c r="Q26" s="531"/>
      <c r="R26" s="531"/>
    </row>
    <row r="27" spans="1:18" s="1" customFormat="1" ht="13" customHeight="1">
      <c r="A27" s="7"/>
      <c r="B27" s="4" t="s">
        <v>601</v>
      </c>
      <c r="C27" s="518"/>
      <c r="D27" s="3"/>
      <c r="E27" s="518"/>
      <c r="F27" s="518"/>
      <c r="G27" s="3"/>
      <c r="H27" s="518"/>
      <c r="I27" s="3"/>
      <c r="J27" s="8"/>
      <c r="K27" s="518"/>
      <c r="L27" s="518"/>
      <c r="M27" s="518"/>
      <c r="N27" s="531"/>
      <c r="O27" s="531"/>
      <c r="P27" s="531"/>
      <c r="Q27" s="531"/>
      <c r="R27" s="531"/>
    </row>
    <row r="28" spans="1:18" s="1" customFormat="1" ht="1.75" customHeight="1">
      <c r="A28" s="7"/>
      <c r="B28" s="518"/>
      <c r="C28" s="518"/>
      <c r="D28" s="3"/>
      <c r="E28" s="518"/>
      <c r="F28" s="518"/>
      <c r="G28" s="3"/>
      <c r="H28" s="518"/>
      <c r="I28" s="3"/>
      <c r="J28" s="8"/>
      <c r="K28" s="518"/>
      <c r="L28" s="518"/>
      <c r="M28" s="518"/>
      <c r="N28" s="531"/>
      <c r="O28" s="531"/>
      <c r="P28" s="531"/>
      <c r="Q28" s="531"/>
      <c r="R28" s="531"/>
    </row>
    <row r="29" spans="1:18" s="1" customFormat="1" ht="2.2999999999999998" customHeight="1">
      <c r="A29" s="7"/>
      <c r="B29" s="518"/>
      <c r="C29" s="518"/>
      <c r="D29" s="3"/>
      <c r="E29" s="518"/>
      <c r="F29" s="518"/>
      <c r="G29" s="3"/>
      <c r="H29" s="518"/>
      <c r="I29" s="3"/>
      <c r="J29" s="8"/>
      <c r="K29" s="518"/>
      <c r="L29" s="518"/>
      <c r="M29" s="518"/>
      <c r="N29" s="531"/>
      <c r="O29" s="531"/>
      <c r="P29" s="531"/>
      <c r="Q29" s="531"/>
      <c r="R29" s="531"/>
    </row>
    <row r="30" spans="1:18" s="1" customFormat="1" ht="3.45" customHeight="1">
      <c r="A30" s="35"/>
      <c r="B30" s="28"/>
      <c r="C30" s="28"/>
      <c r="D30" s="348"/>
      <c r="E30" s="28"/>
      <c r="F30" s="28"/>
      <c r="G30" s="3"/>
      <c r="H30" s="518"/>
      <c r="I30" s="3"/>
      <c r="J30" s="8"/>
      <c r="K30" s="518"/>
      <c r="L30" s="518"/>
      <c r="M30" s="518"/>
      <c r="N30" s="531"/>
      <c r="O30" s="531"/>
      <c r="P30" s="531"/>
      <c r="Q30" s="531"/>
      <c r="R30" s="531"/>
    </row>
    <row r="31" spans="1:18" s="1" customFormat="1" ht="15.55">
      <c r="A31" s="1097" t="s">
        <v>203</v>
      </c>
      <c r="B31" s="1065"/>
      <c r="C31" s="1065"/>
      <c r="D31" s="1065"/>
      <c r="E31" s="1066"/>
      <c r="F31" s="518"/>
      <c r="G31" s="1052" t="s">
        <v>474</v>
      </c>
      <c r="H31" s="1053"/>
      <c r="I31" s="1053"/>
      <c r="J31" s="1054"/>
      <c r="K31" s="492"/>
      <c r="L31" s="402"/>
      <c r="M31" s="402"/>
      <c r="N31" s="531"/>
      <c r="O31" s="531"/>
      <c r="P31" s="531"/>
      <c r="Q31" s="531"/>
      <c r="R31" s="531"/>
    </row>
    <row r="32" spans="1:18" s="1" customFormat="1" ht="5.9" customHeight="1">
      <c r="A32" s="30"/>
      <c r="B32" s="402"/>
      <c r="C32" s="402"/>
      <c r="D32" s="402"/>
      <c r="E32" s="31"/>
      <c r="F32" s="402"/>
      <c r="G32" s="403"/>
      <c r="H32" s="416"/>
      <c r="I32" s="416"/>
      <c r="J32" s="417"/>
      <c r="K32" s="402"/>
      <c r="L32" s="402"/>
      <c r="M32" s="402"/>
      <c r="N32" s="531"/>
      <c r="O32" s="531"/>
      <c r="P32" s="531"/>
      <c r="Q32" s="531"/>
      <c r="R32" s="531"/>
    </row>
    <row r="33" spans="1:23" s="1" customFormat="1" ht="13" customHeight="1">
      <c r="A33" s="30"/>
      <c r="B33" s="404" t="str">
        <f>Eingabe!C3</f>
        <v>Instandsetzung Kappe</v>
      </c>
      <c r="C33" s="531"/>
      <c r="D33" s="402"/>
      <c r="E33" s="31"/>
      <c r="F33" s="402"/>
      <c r="G33" s="30"/>
      <c r="H33" s="402"/>
      <c r="I33" s="402"/>
      <c r="J33" s="31"/>
      <c r="K33" s="402"/>
      <c r="L33" s="402"/>
      <c r="M33" s="402"/>
      <c r="N33" s="531"/>
      <c r="O33" s="531"/>
      <c r="P33" s="531"/>
      <c r="Q33" s="531"/>
      <c r="R33" s="531"/>
    </row>
    <row r="34" spans="1:23" s="1" customFormat="1" ht="16" customHeight="1">
      <c r="A34" s="1097" t="s">
        <v>578</v>
      </c>
      <c r="B34" s="1065"/>
      <c r="C34" s="1065"/>
      <c r="D34" s="1065"/>
      <c r="E34" s="1066"/>
      <c r="F34" s="402"/>
      <c r="G34" s="30"/>
      <c r="H34" s="402"/>
      <c r="I34" s="402"/>
      <c r="J34" s="31"/>
      <c r="K34" s="402"/>
      <c r="L34" s="402"/>
      <c r="M34" s="402"/>
      <c r="N34" s="531"/>
      <c r="O34" s="531"/>
      <c r="P34" s="531"/>
      <c r="Q34" s="531"/>
      <c r="R34" s="531"/>
    </row>
    <row r="35" spans="1:23" s="1" customFormat="1" ht="13" customHeight="1">
      <c r="A35" s="403"/>
      <c r="B35" s="416"/>
      <c r="C35" s="416"/>
      <c r="D35" s="416"/>
      <c r="E35" s="417"/>
      <c r="F35" s="402"/>
      <c r="G35" s="30"/>
      <c r="H35" s="402"/>
      <c r="I35" s="402"/>
      <c r="J35" s="31"/>
      <c r="K35" s="402"/>
      <c r="L35" s="402"/>
      <c r="M35" s="402"/>
      <c r="N35" s="531"/>
      <c r="O35" s="531"/>
      <c r="P35" s="531"/>
      <c r="Q35" s="531"/>
      <c r="R35" s="531"/>
    </row>
    <row r="36" spans="1:23" s="604" customFormat="1" ht="13" customHeight="1">
      <c r="A36" s="30"/>
      <c r="B36" s="599" t="s">
        <v>25</v>
      </c>
      <c r="C36" s="597"/>
      <c r="D36" s="494" t="str">
        <f>Eingabe!C6</f>
        <v>C 35/45; gerissen</v>
      </c>
      <c r="E36" s="598"/>
      <c r="F36" s="402"/>
      <c r="G36" s="30"/>
      <c r="H36" s="402"/>
      <c r="I36" s="402"/>
      <c r="J36" s="31"/>
      <c r="K36" s="402"/>
      <c r="L36" s="402"/>
      <c r="M36" s="402"/>
    </row>
    <row r="37" spans="1:23" s="1" customFormat="1" ht="13" customHeight="1">
      <c r="A37" s="30"/>
      <c r="B37" s="599" t="s">
        <v>31</v>
      </c>
      <c r="C37" s="600"/>
      <c r="D37" s="587">
        <f>Eingabe!C7</f>
        <v>1200</v>
      </c>
      <c r="E37" s="588" t="s">
        <v>0</v>
      </c>
      <c r="F37" s="402"/>
      <c r="G37" s="30"/>
      <c r="H37" s="402"/>
      <c r="I37" s="402"/>
      <c r="J37" s="31"/>
      <c r="K37" s="402"/>
      <c r="L37" s="402"/>
      <c r="M37" s="402"/>
      <c r="N37" s="531"/>
      <c r="O37" s="531"/>
      <c r="P37" s="531"/>
      <c r="Q37" s="531"/>
      <c r="R37" s="531"/>
    </row>
    <row r="38" spans="1:23" s="1" customFormat="1" ht="13" customHeight="1">
      <c r="A38" s="30"/>
      <c r="B38" s="217" t="s">
        <v>33</v>
      </c>
      <c r="C38" s="60"/>
      <c r="D38" s="587">
        <f>Eingabe!C9</f>
        <v>10</v>
      </c>
      <c r="E38" s="588" t="s">
        <v>0</v>
      </c>
      <c r="F38" s="402"/>
      <c r="G38" s="30"/>
      <c r="H38" s="402"/>
      <c r="I38" s="402"/>
      <c r="J38" s="31"/>
      <c r="K38" s="402"/>
      <c r="L38" s="402"/>
      <c r="M38" s="402"/>
      <c r="N38" s="531"/>
      <c r="O38" s="531"/>
      <c r="P38" s="531"/>
      <c r="Q38" s="531"/>
      <c r="R38" s="531"/>
    </row>
    <row r="39" spans="1:23" s="1" customFormat="1" ht="13" customHeight="1">
      <c r="A39" s="30"/>
      <c r="B39" s="1070" t="s">
        <v>603</v>
      </c>
      <c r="C39" s="1071"/>
      <c r="D39" s="631">
        <f>Eingabe!J28</f>
        <v>500</v>
      </c>
      <c r="E39" s="588" t="s">
        <v>0</v>
      </c>
      <c r="F39" s="402"/>
      <c r="G39" s="30"/>
      <c r="H39" s="402"/>
      <c r="I39" s="402"/>
      <c r="J39" s="31"/>
      <c r="K39" s="402"/>
      <c r="L39" s="402"/>
      <c r="M39" s="402"/>
      <c r="N39" s="531"/>
      <c r="O39" s="531"/>
      <c r="P39" s="531"/>
      <c r="Q39" s="531"/>
      <c r="R39" s="531"/>
    </row>
    <row r="40" spans="1:23" s="1" customFormat="1" ht="13" customHeight="1">
      <c r="A40" s="30"/>
      <c r="B40" s="274" t="s">
        <v>604</v>
      </c>
      <c r="C40" s="589"/>
      <c r="D40" s="631">
        <f>Eingabe!J32</f>
        <v>550</v>
      </c>
      <c r="E40" s="632" t="s">
        <v>0</v>
      </c>
      <c r="F40" s="402"/>
      <c r="G40" s="30"/>
      <c r="H40" s="402"/>
      <c r="I40" s="402"/>
      <c r="J40" s="31"/>
      <c r="K40" s="402"/>
      <c r="L40" s="402"/>
      <c r="M40" s="402"/>
      <c r="N40" s="531"/>
      <c r="O40" s="531"/>
      <c r="P40" s="531"/>
      <c r="Q40" s="531"/>
      <c r="R40" s="531"/>
    </row>
    <row r="41" spans="1:23" s="1" customFormat="1" ht="13" customHeight="1">
      <c r="A41" s="30"/>
      <c r="B41" s="1072" t="s">
        <v>564</v>
      </c>
      <c r="C41" s="1073"/>
      <c r="D41" s="587">
        <f>Eingabe!C8</f>
        <v>200</v>
      </c>
      <c r="E41" s="588" t="s">
        <v>0</v>
      </c>
      <c r="F41" s="402"/>
      <c r="G41" s="30"/>
      <c r="H41" s="402"/>
      <c r="I41" s="402"/>
      <c r="J41" s="31"/>
      <c r="K41" s="402"/>
      <c r="L41" s="402"/>
      <c r="M41" s="402"/>
      <c r="N41" s="531"/>
      <c r="O41" s="531"/>
      <c r="P41" s="531"/>
      <c r="Q41" s="531"/>
      <c r="R41" s="531"/>
    </row>
    <row r="42" spans="1:23" s="1" customFormat="1" ht="13" customHeight="1">
      <c r="A42" s="30"/>
      <c r="B42" s="217" t="s">
        <v>207</v>
      </c>
      <c r="C42" s="60"/>
      <c r="D42" s="587">
        <f>IF(Eingabe!AD32=1,Eingabe!C10,Eingabe!V79)</f>
        <v>140</v>
      </c>
      <c r="E42" s="632" t="s">
        <v>0</v>
      </c>
      <c r="F42" s="402"/>
      <c r="G42" s="30"/>
      <c r="H42" s="402"/>
      <c r="I42" s="402"/>
      <c r="J42" s="31"/>
      <c r="K42" s="402"/>
      <c r="L42" s="402"/>
      <c r="M42" s="402"/>
      <c r="N42" s="531"/>
      <c r="O42" s="531"/>
      <c r="P42" s="531"/>
      <c r="Q42" s="531"/>
      <c r="R42" s="531"/>
    </row>
    <row r="43" spans="1:23" s="1" customFormat="1" ht="13" customHeight="1">
      <c r="A43" s="30"/>
      <c r="B43" s="217" t="s">
        <v>611</v>
      </c>
      <c r="C43" s="60"/>
      <c r="D43" s="218">
        <f>Eingabe!W37</f>
        <v>28</v>
      </c>
      <c r="E43" s="588" t="s">
        <v>0</v>
      </c>
      <c r="F43" s="402"/>
      <c r="G43" s="30"/>
      <c r="H43" s="402"/>
      <c r="I43" s="402"/>
      <c r="J43" s="31"/>
      <c r="K43" s="402"/>
      <c r="L43" s="402"/>
      <c r="M43" s="402"/>
      <c r="N43" s="531"/>
      <c r="O43" s="531"/>
      <c r="P43" s="531"/>
      <c r="Q43" s="531"/>
      <c r="R43" s="531"/>
    </row>
    <row r="44" spans="1:23" s="1" customFormat="1" ht="23.9" customHeight="1">
      <c r="A44" s="1111" t="s">
        <v>612</v>
      </c>
      <c r="B44" s="1112"/>
      <c r="C44" s="1112"/>
      <c r="D44" s="1112"/>
      <c r="E44" s="1113"/>
      <c r="F44" s="402"/>
      <c r="G44" s="30"/>
      <c r="H44" s="402"/>
      <c r="I44" s="402"/>
      <c r="J44" s="31"/>
      <c r="K44" s="402"/>
      <c r="L44" s="402"/>
      <c r="M44" s="402"/>
      <c r="N44" s="531"/>
      <c r="O44" s="531"/>
      <c r="P44" s="531"/>
      <c r="Q44" s="531"/>
      <c r="R44" s="531"/>
    </row>
    <row r="45" spans="1:23" s="1" customFormat="1" ht="16" customHeight="1">
      <c r="A45" s="1052" t="s">
        <v>117</v>
      </c>
      <c r="B45" s="1053"/>
      <c r="C45" s="1053"/>
      <c r="D45" s="1053"/>
      <c r="E45" s="1054"/>
      <c r="F45" s="29"/>
      <c r="G45" s="30"/>
      <c r="H45" s="402"/>
      <c r="I45" s="402"/>
      <c r="J45" s="31"/>
      <c r="K45" s="402"/>
      <c r="L45" s="402"/>
      <c r="M45" s="402"/>
      <c r="N45" s="531"/>
      <c r="O45" s="531"/>
      <c r="P45" s="531"/>
      <c r="Q45" s="531"/>
      <c r="R45" s="531"/>
    </row>
    <row r="46" spans="1:23" s="1" customFormat="1" ht="13" customHeight="1">
      <c r="A46" s="403"/>
      <c r="B46" s="416"/>
      <c r="C46" s="416"/>
      <c r="D46" s="416"/>
      <c r="E46" s="417"/>
      <c r="F46" s="402"/>
      <c r="G46" s="30"/>
      <c r="H46" s="402"/>
      <c r="I46" s="402"/>
      <c r="J46" s="31"/>
      <c r="K46" s="402"/>
      <c r="L46" s="402"/>
      <c r="M46" s="402"/>
      <c r="N46" s="531"/>
      <c r="O46" s="531"/>
      <c r="P46" s="531"/>
      <c r="Q46" s="531"/>
      <c r="R46" s="531"/>
    </row>
    <row r="47" spans="1:23" s="1" customFormat="1" ht="13" customHeight="1">
      <c r="A47" s="33"/>
      <c r="B47" s="647" t="s">
        <v>25</v>
      </c>
      <c r="C47" s="648"/>
      <c r="D47" s="494" t="str">
        <f>Eingabe!C13</f>
        <v>C 25/30 (LP); gerissen</v>
      </c>
      <c r="E47" s="588"/>
      <c r="F47" s="402"/>
      <c r="G47" s="33"/>
      <c r="H47" s="29"/>
      <c r="I47" s="29"/>
      <c r="J47" s="34"/>
      <c r="K47" s="29"/>
      <c r="L47" s="402"/>
      <c r="M47" s="402"/>
      <c r="N47" s="531"/>
      <c r="O47" s="531"/>
      <c r="P47" s="531"/>
      <c r="Q47" s="531"/>
      <c r="R47" s="531"/>
    </row>
    <row r="48" spans="1:23" s="1" customFormat="1" ht="13" customHeight="1">
      <c r="A48" s="30"/>
      <c r="B48" s="17" t="s">
        <v>1153</v>
      </c>
      <c r="C48" s="597"/>
      <c r="D48" s="1107" t="str">
        <f>Eingabe!C14&amp;"    [kg/m3]"</f>
        <v>1600    [kg/m3]</v>
      </c>
      <c r="E48" s="1108"/>
      <c r="F48" s="402"/>
      <c r="G48" s="30"/>
      <c r="H48" s="402"/>
      <c r="I48" s="402"/>
      <c r="J48" s="31"/>
      <c r="K48" s="402"/>
      <c r="L48" s="402"/>
      <c r="M48" s="402"/>
      <c r="N48" s="531"/>
      <c r="O48" s="402"/>
      <c r="P48" s="402"/>
      <c r="Q48" s="402"/>
      <c r="R48" s="402"/>
      <c r="S48" s="344"/>
      <c r="T48" s="344"/>
      <c r="U48" s="344"/>
      <c r="V48" s="344"/>
      <c r="W48" s="344"/>
    </row>
    <row r="49" spans="1:23" s="1" customFormat="1" ht="13" customHeight="1">
      <c r="A49" s="30"/>
      <c r="B49" s="269" t="s">
        <v>206</v>
      </c>
      <c r="C49" s="402"/>
      <c r="D49" s="665" t="str">
        <f>LEFT(Eingabe!C12,FIND("m",Eingabe!C12)-1)</f>
        <v xml:space="preserve">≤ 1,70 </v>
      </c>
      <c r="E49" s="649" t="s">
        <v>551</v>
      </c>
      <c r="F49" s="402"/>
      <c r="G49" s="30"/>
      <c r="H49" s="402"/>
      <c r="I49" s="402"/>
      <c r="J49" s="31"/>
      <c r="K49" s="402"/>
      <c r="L49" s="402"/>
      <c r="M49" s="402"/>
      <c r="N49" s="531"/>
      <c r="O49" s="402"/>
      <c r="P49" s="402"/>
      <c r="Q49" s="402"/>
      <c r="R49" s="402"/>
      <c r="S49" s="344"/>
      <c r="T49" s="344"/>
      <c r="U49" s="344"/>
      <c r="V49" s="344"/>
      <c r="W49" s="344"/>
    </row>
    <row r="50" spans="1:23" s="1" customFormat="1" ht="13" customHeight="1">
      <c r="A50" s="30"/>
      <c r="B50" s="1072" t="s">
        <v>126</v>
      </c>
      <c r="C50" s="1073"/>
      <c r="D50" s="587">
        <f>Eingabe!C16</f>
        <v>300</v>
      </c>
      <c r="E50" s="588" t="s">
        <v>0</v>
      </c>
      <c r="F50" s="402"/>
      <c r="G50" s="30"/>
      <c r="H50" s="402"/>
      <c r="I50" s="402"/>
      <c r="J50" s="31"/>
      <c r="K50" s="402"/>
      <c r="L50" s="402"/>
      <c r="M50" s="402"/>
      <c r="N50" s="531"/>
      <c r="O50" s="402"/>
      <c r="P50" s="402"/>
      <c r="Q50" s="402"/>
      <c r="R50" s="402"/>
      <c r="S50" s="344"/>
      <c r="T50" s="344"/>
      <c r="U50" s="344"/>
      <c r="V50" s="344"/>
      <c r="W50" s="344"/>
    </row>
    <row r="51" spans="1:23" s="1" customFormat="1" ht="13" customHeight="1">
      <c r="A51" s="30"/>
      <c r="B51" s="647" t="s">
        <v>408</v>
      </c>
      <c r="C51" s="597"/>
      <c r="D51" s="494" t="str">
        <f>Eingabe!C15</f>
        <v>Sechskantmutter M24</v>
      </c>
      <c r="E51" s="31"/>
      <c r="F51" s="402"/>
      <c r="G51" s="30"/>
      <c r="H51" s="402"/>
      <c r="I51" s="402"/>
      <c r="J51" s="31"/>
      <c r="K51" s="402"/>
      <c r="L51" s="402"/>
      <c r="M51" s="402"/>
      <c r="N51" s="531"/>
      <c r="O51" s="402"/>
      <c r="P51" s="402"/>
      <c r="Q51" s="402"/>
      <c r="R51" s="402"/>
      <c r="S51" s="344"/>
      <c r="T51" s="344"/>
      <c r="U51" s="344"/>
      <c r="V51" s="344"/>
      <c r="W51" s="344"/>
    </row>
    <row r="52" spans="1:23" s="1" customFormat="1" ht="13" customHeight="1">
      <c r="A52" s="30"/>
      <c r="B52" s="647" t="s">
        <v>607</v>
      </c>
      <c r="C52" s="402"/>
      <c r="D52" s="586">
        <f>IF(Eingabe!C19=0,"0",Eingabe!C19)</f>
        <v>50</v>
      </c>
      <c r="E52" s="588" t="s">
        <v>0</v>
      </c>
      <c r="F52" s="402"/>
      <c r="G52" s="30"/>
      <c r="H52" s="402"/>
      <c r="I52" s="402"/>
      <c r="J52" s="31"/>
      <c r="K52" s="402"/>
      <c r="L52" s="402"/>
      <c r="M52" s="402"/>
      <c r="N52" s="531"/>
      <c r="O52" s="402"/>
      <c r="P52" s="402"/>
      <c r="Q52" s="402"/>
      <c r="R52" s="402"/>
      <c r="S52" s="344"/>
      <c r="T52" s="344"/>
      <c r="U52" s="344"/>
      <c r="V52" s="344"/>
      <c r="W52" s="344"/>
    </row>
    <row r="53" spans="1:23" s="1" customFormat="1" ht="13" customHeight="1">
      <c r="A53" s="30"/>
      <c r="B53" s="1072" t="s">
        <v>139</v>
      </c>
      <c r="C53" s="1073"/>
      <c r="D53" s="587">
        <f>Eingabe!C18</f>
        <v>145</v>
      </c>
      <c r="E53" s="588" t="s">
        <v>0</v>
      </c>
      <c r="F53" s="402"/>
      <c r="G53" s="1074"/>
      <c r="H53" s="1075"/>
      <c r="I53" s="1075"/>
      <c r="J53" s="1076"/>
      <c r="K53" s="490"/>
      <c r="L53" s="402"/>
      <c r="M53" s="402"/>
      <c r="N53" s="531"/>
      <c r="O53" s="531"/>
      <c r="P53" s="531"/>
      <c r="Q53" s="531"/>
      <c r="R53" s="531"/>
    </row>
    <row r="54" spans="1:23" s="1" customFormat="1" ht="13" customHeight="1">
      <c r="A54" s="30"/>
      <c r="B54" s="217" t="s">
        <v>411</v>
      </c>
      <c r="C54" s="60"/>
      <c r="D54" s="587">
        <f>Eingabe!C21</f>
        <v>76</v>
      </c>
      <c r="E54" s="588" t="s">
        <v>0</v>
      </c>
      <c r="F54" s="402"/>
      <c r="G54" s="30"/>
      <c r="H54" s="402"/>
      <c r="I54" s="402"/>
      <c r="J54" s="31"/>
      <c r="K54" s="490"/>
      <c r="L54" s="402"/>
      <c r="M54" s="402"/>
      <c r="N54" s="531"/>
      <c r="O54" s="531"/>
      <c r="P54" s="531"/>
      <c r="Q54" s="531"/>
      <c r="R54" s="531"/>
    </row>
    <row r="55" spans="1:23" s="1" customFormat="1" ht="23.5" customHeight="1">
      <c r="A55" s="5"/>
      <c r="B55" s="661" t="s">
        <v>605</v>
      </c>
      <c r="C55" s="32"/>
      <c r="D55" s="662">
        <f>SUM(Eingabe!C20,Eingabe!C21)</f>
        <v>95</v>
      </c>
      <c r="E55" s="480" t="s">
        <v>0</v>
      </c>
      <c r="F55" s="402"/>
      <c r="G55" s="1040" t="str">
        <f>Eingabe!T79</f>
        <v>projektspez. HCC-Art.-Set: HIT-C-R M24x243</v>
      </c>
      <c r="H55" s="1032"/>
      <c r="I55" s="1032"/>
      <c r="J55" s="1082"/>
      <c r="K55" s="15"/>
      <c r="L55" s="402"/>
      <c r="M55" s="402"/>
      <c r="N55" s="531"/>
      <c r="O55" s="531"/>
      <c r="P55" s="531"/>
      <c r="Q55" s="531"/>
      <c r="R55" s="531"/>
    </row>
    <row r="56" spans="1:23" s="1" customFormat="1" ht="16" customHeight="1">
      <c r="A56" s="1079" t="s">
        <v>546</v>
      </c>
      <c r="B56" s="1080"/>
      <c r="C56" s="1080"/>
      <c r="D56" s="1080"/>
      <c r="E56" s="1081"/>
      <c r="F56" s="402"/>
      <c r="G56" s="1040" t="s">
        <v>596</v>
      </c>
      <c r="H56" s="1032"/>
      <c r="I56" s="1032"/>
      <c r="J56" s="1082"/>
      <c r="K56" s="485"/>
      <c r="L56" s="402"/>
      <c r="M56" s="402"/>
      <c r="N56" s="531"/>
      <c r="O56" s="531"/>
      <c r="P56" s="531"/>
      <c r="Q56" s="531"/>
      <c r="R56" s="531"/>
    </row>
    <row r="57" spans="1:23" s="1" customFormat="1" ht="19.149999999999999" customHeight="1">
      <c r="A57" s="30"/>
      <c r="B57" s="402" t="str">
        <f>LEFT(Eingabe!F4,FIND(",",Eingabe!F4)-1)</f>
        <v>Bitumen-Schweißbahn einlagig + Schutzlage</v>
      </c>
      <c r="C57" s="402"/>
      <c r="D57" s="402"/>
      <c r="E57" s="31"/>
      <c r="F57" s="402"/>
      <c r="G57" s="1077" t="str">
        <f>IF(Eingabe!M79=Eingabe!Y56,Eingabe!S55&amp;Eingabe!C15&amp;Eingabe!S56,"Falsche Dimension Kopfbolzen")</f>
        <v xml:space="preserve">und Sechskantmutter M24 </v>
      </c>
      <c r="H57" s="1034"/>
      <c r="I57" s="1034"/>
      <c r="J57" s="1078"/>
      <c r="K57" s="402"/>
      <c r="L57" s="402"/>
      <c r="M57" s="402"/>
      <c r="N57" s="531"/>
      <c r="O57" s="531"/>
      <c r="P57" s="531"/>
      <c r="Q57" s="531"/>
      <c r="R57" s="531"/>
    </row>
    <row r="58" spans="1:23" s="475" customFormat="1" ht="14.25" customHeight="1">
      <c r="A58" s="5"/>
      <c r="B58" s="477" t="s">
        <v>606</v>
      </c>
      <c r="C58" s="32"/>
      <c r="D58" s="481">
        <f>IF(Eingabe!O105=0,"0",Eingabe!O105)</f>
        <v>8</v>
      </c>
      <c r="E58" s="482" t="s">
        <v>0</v>
      </c>
      <c r="F58" s="402"/>
      <c r="G58" s="1043" t="s">
        <v>582</v>
      </c>
      <c r="H58" s="1044"/>
      <c r="I58" s="1044"/>
      <c r="J58" s="1045"/>
      <c r="K58" s="402"/>
      <c r="L58" s="402"/>
      <c r="M58" s="402"/>
      <c r="N58" s="531"/>
      <c r="O58" s="531"/>
      <c r="P58" s="531"/>
      <c r="Q58" s="531"/>
      <c r="R58" s="531"/>
    </row>
    <row r="59" spans="1:23" s="467" customFormat="1" ht="25.5" customHeight="1">
      <c r="A59" s="402"/>
      <c r="B59" s="1036" t="str">
        <f>Eingabe!B2</f>
        <v xml:space="preserve">HILTI Design-Tool Kappenverankerung 8.3            </v>
      </c>
      <c r="C59" s="1036"/>
      <c r="D59" s="1036"/>
      <c r="E59" s="1036"/>
      <c r="F59" s="402"/>
      <c r="G59" s="1034" t="str">
        <f>Eingabe!I2</f>
        <v>Version gültig bis 30.04.2021</v>
      </c>
      <c r="H59" s="1034"/>
      <c r="I59" s="1034"/>
      <c r="J59" s="1034"/>
      <c r="K59" s="402"/>
      <c r="L59" s="402"/>
      <c r="M59" s="402"/>
      <c r="N59" s="531"/>
      <c r="O59" s="531"/>
      <c r="P59" s="531"/>
      <c r="Q59" s="531"/>
      <c r="R59" s="531"/>
    </row>
    <row r="60" spans="1:23" s="1" customFormat="1" ht="15.55">
      <c r="A60" s="1035" t="s">
        <v>145</v>
      </c>
      <c r="B60" s="1035"/>
      <c r="C60" s="1035"/>
      <c r="D60" s="1035"/>
      <c r="E60" s="1035"/>
      <c r="F60" s="1035"/>
      <c r="G60" s="1035"/>
      <c r="H60" s="1035"/>
      <c r="I60" s="1035"/>
      <c r="J60" s="1035"/>
      <c r="K60" s="500"/>
      <c r="L60" s="402"/>
      <c r="M60" s="402"/>
      <c r="N60" s="531"/>
      <c r="O60" s="531"/>
      <c r="P60" s="531"/>
      <c r="Q60" s="531"/>
      <c r="R60" s="531"/>
    </row>
    <row r="61" spans="1:23" s="1" customFormat="1" ht="5.5" customHeight="1">
      <c r="A61" s="402"/>
      <c r="B61" s="402"/>
      <c r="C61" s="402"/>
      <c r="D61" s="402"/>
      <c r="E61" s="402"/>
      <c r="F61" s="402"/>
      <c r="G61" s="402"/>
      <c r="H61" s="402"/>
      <c r="I61" s="402"/>
      <c r="J61" s="402"/>
      <c r="K61" s="402"/>
      <c r="L61" s="402"/>
      <c r="M61" s="402"/>
      <c r="N61" s="531"/>
      <c r="O61" s="531"/>
      <c r="P61" s="531"/>
      <c r="Q61" s="531"/>
      <c r="R61" s="531"/>
    </row>
    <row r="62" spans="1:23" s="1" customFormat="1" ht="16.7" customHeight="1">
      <c r="A62" s="402"/>
      <c r="B62" s="1083" t="s">
        <v>438</v>
      </c>
      <c r="C62" s="1084"/>
      <c r="D62" s="1084"/>
      <c r="E62" s="1084"/>
      <c r="F62" s="1084"/>
      <c r="G62" s="1084"/>
      <c r="H62" s="1084"/>
      <c r="I62" s="1084"/>
      <c r="J62" s="1084"/>
      <c r="K62" s="211"/>
      <c r="L62" s="402"/>
      <c r="M62" s="402"/>
      <c r="N62" s="531"/>
      <c r="O62" s="531"/>
      <c r="P62" s="531"/>
      <c r="Q62" s="531"/>
      <c r="R62" s="531"/>
    </row>
    <row r="63" spans="1:23" s="1" customFormat="1" ht="14.15" customHeight="1">
      <c r="A63" s="402"/>
      <c r="B63" s="410" t="str">
        <f>Eingabe!C24</f>
        <v>Anprall Fahrzeugrückhaltesystem</v>
      </c>
      <c r="C63" s="531"/>
      <c r="D63" s="531"/>
      <c r="E63" s="531"/>
      <c r="F63" s="531"/>
      <c r="G63" s="531"/>
      <c r="H63" s="531"/>
      <c r="I63" s="525"/>
      <c r="J63" s="402"/>
      <c r="K63" s="17"/>
      <c r="L63" s="402"/>
      <c r="M63" s="402"/>
      <c r="N63" s="531"/>
      <c r="O63" s="531"/>
      <c r="P63" s="531"/>
      <c r="Q63" s="531"/>
      <c r="R63" s="531"/>
    </row>
    <row r="64" spans="1:23" s="1" customFormat="1" ht="14.15" customHeight="1">
      <c r="A64" s="402"/>
      <c r="B64" s="17" t="s">
        <v>289</v>
      </c>
      <c r="C64" s="402"/>
      <c r="D64" s="402"/>
      <c r="E64" s="402"/>
      <c r="F64" s="402"/>
      <c r="G64" s="164">
        <f>IF(Eingabe!C25=0,"0,0",Eingabe!C25)</f>
        <v>16.399999999999999</v>
      </c>
      <c r="H64" s="402" t="s">
        <v>101</v>
      </c>
      <c r="I64" s="525"/>
      <c r="J64" s="402"/>
      <c r="K64" s="17"/>
      <c r="L64" s="402"/>
      <c r="M64" s="402"/>
      <c r="N64" s="531"/>
      <c r="O64" s="531"/>
      <c r="P64" s="531"/>
      <c r="Q64" s="531"/>
      <c r="R64" s="531"/>
    </row>
    <row r="65" spans="1:18" s="1" customFormat="1" ht="17.850000000000001" customHeight="1">
      <c r="A65" s="402"/>
      <c r="B65" s="407" t="s">
        <v>439</v>
      </c>
      <c r="C65" s="408"/>
      <c r="D65" s="408"/>
      <c r="E65" s="408"/>
      <c r="F65" s="408"/>
      <c r="G65" s="409">
        <f>Eingabe!C26</f>
        <v>90.6</v>
      </c>
      <c r="H65" s="408" t="s">
        <v>98</v>
      </c>
      <c r="I65" s="525"/>
      <c r="J65" s="402"/>
      <c r="K65" s="17"/>
      <c r="L65" s="402"/>
      <c r="M65" s="402"/>
      <c r="N65" s="531"/>
      <c r="O65" s="531"/>
      <c r="P65" s="531"/>
      <c r="Q65" s="531"/>
      <c r="R65" s="531"/>
    </row>
    <row r="66" spans="1:18" s="1" customFormat="1" ht="70.7" customHeight="1">
      <c r="A66" s="402"/>
      <c r="B66" s="1069" t="s">
        <v>553</v>
      </c>
      <c r="C66" s="1069"/>
      <c r="D66" s="1069"/>
      <c r="E66" s="1069"/>
      <c r="F66" s="1069"/>
      <c r="G66" s="1069"/>
      <c r="H66" s="1069"/>
      <c r="I66" s="1069"/>
      <c r="J66" s="1069"/>
      <c r="K66" s="17"/>
      <c r="L66" s="402"/>
      <c r="M66" s="402"/>
      <c r="N66" s="531"/>
      <c r="O66" s="531"/>
      <c r="P66" s="531"/>
      <c r="Q66" s="531"/>
      <c r="R66" s="531"/>
    </row>
    <row r="67" spans="1:18" s="1" customFormat="1" ht="14.15" customHeight="1">
      <c r="A67" s="402"/>
      <c r="B67" s="69" t="s">
        <v>297</v>
      </c>
      <c r="C67" s="402"/>
      <c r="D67" s="402"/>
      <c r="E67" s="402"/>
      <c r="F67" s="402"/>
      <c r="G67" s="270">
        <f>IF(Eingabe!C29&gt;0,Eingabe!C29,"0,0")</f>
        <v>12</v>
      </c>
      <c r="H67" s="217" t="s">
        <v>287</v>
      </c>
      <c r="I67" s="525"/>
      <c r="J67" s="402"/>
      <c r="K67" s="17"/>
      <c r="L67" s="402"/>
      <c r="M67" s="402"/>
      <c r="N67" s="531"/>
      <c r="O67" s="531"/>
      <c r="P67" s="531"/>
      <c r="Q67" s="531"/>
      <c r="R67" s="531"/>
    </row>
    <row r="68" spans="1:18" s="1" customFormat="1" ht="14.15" customHeight="1">
      <c r="A68" s="402"/>
      <c r="B68" s="217" t="s">
        <v>298</v>
      </c>
      <c r="C68" s="60"/>
      <c r="D68" s="218"/>
      <c r="E68" s="60"/>
      <c r="F68" s="60"/>
      <c r="G68" s="164">
        <f>IF(Eingabe!C30&gt;0,Eingabe!C30,"0,0")</f>
        <v>12</v>
      </c>
      <c r="H68" s="217" t="s">
        <v>287</v>
      </c>
      <c r="I68" s="525"/>
      <c r="J68" s="402"/>
      <c r="K68" s="17"/>
      <c r="L68" s="402"/>
      <c r="M68" s="402"/>
      <c r="N68" s="531"/>
      <c r="O68" s="531"/>
      <c r="P68" s="531"/>
      <c r="Q68" s="531"/>
      <c r="R68" s="531"/>
    </row>
    <row r="69" spans="1:18" s="1" customFormat="1" ht="9.25" customHeight="1">
      <c r="A69" s="402"/>
      <c r="B69" s="402"/>
      <c r="C69" s="402"/>
      <c r="D69" s="402"/>
      <c r="E69" s="402"/>
      <c r="F69" s="402"/>
      <c r="G69" s="402"/>
      <c r="H69" s="402"/>
      <c r="I69" s="402"/>
      <c r="J69" s="402"/>
      <c r="K69" s="17"/>
      <c r="L69" s="402"/>
      <c r="M69" s="402"/>
      <c r="N69" s="531"/>
      <c r="O69" s="531"/>
      <c r="P69" s="531"/>
      <c r="Q69" s="531"/>
      <c r="R69" s="531"/>
    </row>
    <row r="70" spans="1:18" s="488" customFormat="1" ht="16" customHeight="1">
      <c r="A70" s="928" t="s">
        <v>556</v>
      </c>
      <c r="B70" s="928"/>
      <c r="C70" s="928"/>
      <c r="D70" s="928"/>
      <c r="E70" s="928"/>
      <c r="F70" s="928"/>
      <c r="G70" s="928"/>
      <c r="H70" s="928"/>
      <c r="I70" s="928"/>
      <c r="J70" s="928"/>
      <c r="K70" s="17"/>
      <c r="L70" s="402"/>
      <c r="M70" s="402"/>
      <c r="N70" s="531"/>
      <c r="O70" s="531"/>
      <c r="P70" s="531"/>
      <c r="Q70" s="531"/>
      <c r="R70" s="531"/>
    </row>
    <row r="71" spans="1:18" s="488" customFormat="1" ht="5.9" customHeight="1">
      <c r="A71" s="402"/>
      <c r="B71" s="402"/>
      <c r="C71" s="402"/>
      <c r="D71" s="402"/>
      <c r="E71" s="402"/>
      <c r="F71" s="402"/>
      <c r="G71" s="402"/>
      <c r="H71" s="402"/>
      <c r="I71" s="402"/>
      <c r="J71" s="402"/>
      <c r="K71" s="17"/>
      <c r="L71" s="402"/>
      <c r="M71" s="402"/>
      <c r="N71" s="531"/>
      <c r="O71" s="531"/>
      <c r="P71" s="531"/>
      <c r="Q71" s="531"/>
      <c r="R71" s="531"/>
    </row>
    <row r="72" spans="1:18" s="1" customFormat="1" ht="14.15" customHeight="1">
      <c r="A72" s="402"/>
      <c r="B72" s="1086" t="s">
        <v>273</v>
      </c>
      <c r="C72" s="1086"/>
      <c r="D72" s="1086"/>
      <c r="E72" s="530"/>
      <c r="F72" s="530"/>
      <c r="G72" s="530"/>
      <c r="H72" s="530"/>
      <c r="I72" s="402"/>
      <c r="J72" s="402"/>
      <c r="K72" s="211"/>
      <c r="L72" s="402"/>
      <c r="M72" s="402"/>
      <c r="N72" s="531"/>
      <c r="O72" s="531"/>
      <c r="P72" s="531"/>
      <c r="Q72" s="531"/>
      <c r="R72" s="531"/>
    </row>
    <row r="73" spans="1:18" s="1" customFormat="1" ht="14.15" customHeight="1">
      <c r="A73" s="402"/>
      <c r="B73" s="402"/>
      <c r="C73" s="519" t="s">
        <v>30</v>
      </c>
      <c r="D73" s="519" t="s">
        <v>117</v>
      </c>
      <c r="E73" s="27"/>
      <c r="F73" s="27"/>
      <c r="G73" s="519"/>
      <c r="H73" s="519"/>
      <c r="I73" s="402"/>
      <c r="J73" s="402"/>
      <c r="K73" s="17"/>
      <c r="L73" s="402"/>
      <c r="M73" s="402"/>
      <c r="N73" s="531"/>
      <c r="O73" s="531"/>
      <c r="P73" s="531"/>
      <c r="Q73" s="531"/>
      <c r="R73" s="531"/>
    </row>
    <row r="74" spans="1:18" s="1" customFormat="1" ht="14.15" customHeight="1">
      <c r="A74" s="402"/>
      <c r="B74" s="531"/>
      <c r="C74" s="1032" t="s">
        <v>290</v>
      </c>
      <c r="D74" s="1032"/>
      <c r="E74" s="520"/>
      <c r="F74" s="402"/>
      <c r="G74" s="1032"/>
      <c r="H74" s="1032"/>
      <c r="I74" s="520"/>
      <c r="J74" s="520"/>
      <c r="K74" s="17"/>
      <c r="L74" s="402"/>
      <c r="M74" s="402"/>
      <c r="N74" s="531"/>
      <c r="O74" s="531"/>
      <c r="P74" s="531"/>
      <c r="Q74" s="531"/>
      <c r="R74" s="531"/>
    </row>
    <row r="75" spans="1:18" s="1" customFormat="1" ht="14.15" customHeight="1">
      <c r="A75" s="402"/>
      <c r="B75" s="402" t="s">
        <v>74</v>
      </c>
      <c r="C75" s="220">
        <f>Eingabe!D41</f>
        <v>4.2779482683033754</v>
      </c>
      <c r="D75" s="220">
        <f>Eingabe!F41</f>
        <v>4.2779482683033754</v>
      </c>
      <c r="E75" s="221"/>
      <c r="F75" s="221"/>
      <c r="G75" s="222"/>
      <c r="H75" s="222"/>
      <c r="I75" s="17"/>
      <c r="J75" s="17"/>
      <c r="K75" s="17"/>
      <c r="L75" s="402"/>
      <c r="M75" s="402"/>
      <c r="N75" s="531"/>
      <c r="O75" s="531"/>
      <c r="P75" s="531"/>
      <c r="Q75" s="531"/>
      <c r="R75" s="531"/>
    </row>
    <row r="76" spans="1:18" s="1" customFormat="1" ht="14.15" customHeight="1">
      <c r="A76" s="402"/>
      <c r="B76" s="17" t="s">
        <v>292</v>
      </c>
      <c r="C76" s="220">
        <f>Eingabe!D42</f>
        <v>27.194109375</v>
      </c>
      <c r="D76" s="271">
        <f>Eingabe!F42</f>
        <v>27.194109375</v>
      </c>
      <c r="E76" s="221"/>
      <c r="F76" s="221"/>
      <c r="G76" s="222"/>
      <c r="H76" s="222"/>
      <c r="I76" s="18"/>
      <c r="J76" s="17"/>
      <c r="K76" s="17"/>
      <c r="L76" s="402"/>
      <c r="M76" s="402"/>
      <c r="N76" s="531"/>
      <c r="O76" s="531"/>
      <c r="P76" s="531"/>
      <c r="Q76" s="531"/>
      <c r="R76" s="531"/>
    </row>
    <row r="77" spans="1:18" s="1" customFormat="1" ht="14.15" customHeight="1">
      <c r="A77" s="402"/>
      <c r="B77" s="17" t="s">
        <v>293</v>
      </c>
      <c r="C77" s="220">
        <f>Eingabe!D43</f>
        <v>54.38821875</v>
      </c>
      <c r="D77" s="220">
        <f>Eingabe!F43</f>
        <v>27.194109375</v>
      </c>
      <c r="E77" s="221"/>
      <c r="F77" s="221"/>
      <c r="G77" s="222"/>
      <c r="H77" s="222"/>
      <c r="I77" s="18"/>
      <c r="J77" s="17"/>
      <c r="K77" s="17"/>
      <c r="L77" s="402"/>
      <c r="M77" s="402"/>
      <c r="N77" s="531"/>
      <c r="O77" s="531"/>
      <c r="P77" s="531"/>
      <c r="Q77" s="531"/>
      <c r="R77" s="531"/>
    </row>
    <row r="78" spans="1:18" s="1" customFormat="1" ht="5.9" customHeight="1">
      <c r="A78" s="402"/>
      <c r="B78" s="17"/>
      <c r="C78" s="164"/>
      <c r="D78" s="164"/>
      <c r="E78" s="402"/>
      <c r="F78" s="402"/>
      <c r="G78" s="219"/>
      <c r="H78" s="219"/>
      <c r="I78" s="18"/>
      <c r="J78" s="17"/>
      <c r="K78" s="17"/>
      <c r="L78" s="402"/>
      <c r="M78" s="402"/>
      <c r="N78" s="531"/>
      <c r="O78" s="531"/>
      <c r="P78" s="531"/>
      <c r="Q78" s="531"/>
      <c r="R78" s="531"/>
    </row>
    <row r="79" spans="1:18" s="1" customFormat="1" ht="14.15" customHeight="1">
      <c r="A79" s="402"/>
      <c r="B79" s="1086" t="s">
        <v>516</v>
      </c>
      <c r="C79" s="1086"/>
      <c r="D79" s="1086"/>
      <c r="E79" s="523"/>
      <c r="F79" s="523"/>
      <c r="G79" s="523"/>
      <c r="H79" s="523"/>
      <c r="I79" s="18"/>
      <c r="J79" s="17"/>
      <c r="K79" s="17"/>
      <c r="L79" s="402"/>
      <c r="M79" s="402"/>
      <c r="N79" s="531"/>
      <c r="O79" s="531"/>
      <c r="P79" s="531"/>
      <c r="Q79" s="531"/>
      <c r="R79" s="531"/>
    </row>
    <row r="80" spans="1:18" s="1" customFormat="1" ht="14.15" customHeight="1">
      <c r="A80" s="402"/>
      <c r="B80" s="402"/>
      <c r="C80" s="519" t="s">
        <v>30</v>
      </c>
      <c r="D80" s="519" t="s">
        <v>117</v>
      </c>
      <c r="E80" s="27"/>
      <c r="F80" s="27"/>
      <c r="G80" s="519"/>
      <c r="H80" s="519"/>
      <c r="I80" s="18"/>
      <c r="J80" s="17"/>
      <c r="K80" s="17"/>
      <c r="L80" s="402"/>
      <c r="M80" s="402"/>
      <c r="N80" s="531"/>
      <c r="O80" s="531"/>
      <c r="P80" s="531"/>
      <c r="Q80" s="531"/>
      <c r="R80" s="531"/>
    </row>
    <row r="81" spans="1:18" s="1" customFormat="1" ht="14.15" customHeight="1">
      <c r="A81" s="402"/>
      <c r="B81" s="531"/>
      <c r="C81" s="1032" t="s">
        <v>294</v>
      </c>
      <c r="D81" s="1032"/>
      <c r="E81" s="520"/>
      <c r="F81" s="402"/>
      <c r="G81" s="1032"/>
      <c r="H81" s="1032"/>
      <c r="I81" s="18"/>
      <c r="J81" s="17"/>
      <c r="K81" s="17"/>
      <c r="L81" s="402"/>
      <c r="M81" s="402"/>
      <c r="N81" s="531"/>
      <c r="O81" s="531"/>
      <c r="P81" s="531"/>
      <c r="Q81" s="531"/>
      <c r="R81" s="531"/>
    </row>
    <row r="82" spans="1:18" s="1" customFormat="1" ht="14.15" customHeight="1">
      <c r="A82" s="402"/>
      <c r="B82" s="402" t="s">
        <v>74</v>
      </c>
      <c r="C82" s="220">
        <f>Eingabe!D53</f>
        <v>4.7057430951337125</v>
      </c>
      <c r="D82" s="220">
        <f>Eingabe!F53</f>
        <v>4.7057430951337125</v>
      </c>
      <c r="E82" s="221"/>
      <c r="F82" s="221"/>
      <c r="G82" s="222"/>
      <c r="H82" s="222"/>
      <c r="I82" s="18"/>
      <c r="J82" s="17"/>
      <c r="K82" s="521"/>
      <c r="L82" s="402"/>
      <c r="M82" s="402"/>
      <c r="N82" s="531"/>
      <c r="O82" s="531"/>
      <c r="P82" s="531"/>
      <c r="Q82" s="531"/>
      <c r="R82" s="531"/>
    </row>
    <row r="83" spans="1:18" s="1" customFormat="1" ht="14.15" customHeight="1">
      <c r="A83" s="402"/>
      <c r="B83" s="528" t="s">
        <v>281</v>
      </c>
      <c r="C83" s="220">
        <f>Eingabe!D54</f>
        <v>29.921271248249965</v>
      </c>
      <c r="D83" s="271">
        <f>Eingabe!F54</f>
        <v>29.921271248249965</v>
      </c>
      <c r="E83" s="221"/>
      <c r="F83" s="221"/>
      <c r="G83" s="222"/>
      <c r="H83" s="222"/>
      <c r="I83" s="18"/>
      <c r="J83" s="17"/>
      <c r="K83" s="522"/>
      <c r="L83" s="402"/>
      <c r="M83" s="402"/>
      <c r="N83" s="531"/>
      <c r="O83" s="531"/>
      <c r="P83" s="531"/>
      <c r="Q83" s="531"/>
      <c r="R83" s="531"/>
    </row>
    <row r="84" spans="1:18" s="1" customFormat="1" ht="14.15" customHeight="1">
      <c r="A84" s="402"/>
      <c r="B84" s="528" t="s">
        <v>282</v>
      </c>
      <c r="C84" s="220">
        <f>Eingabe!D55</f>
        <v>59.842542496499931</v>
      </c>
      <c r="D84" s="220">
        <f>Eingabe!F55</f>
        <v>29.921271248249965</v>
      </c>
      <c r="E84" s="221"/>
      <c r="F84" s="221"/>
      <c r="G84" s="222"/>
      <c r="H84" s="222"/>
      <c r="I84" s="18"/>
      <c r="J84" s="17"/>
      <c r="K84" s="520"/>
      <c r="L84" s="402"/>
      <c r="M84" s="402"/>
      <c r="N84" s="531"/>
      <c r="O84" s="531"/>
      <c r="P84" s="531"/>
      <c r="Q84" s="531"/>
      <c r="R84" s="531"/>
    </row>
    <row r="85" spans="1:18" s="1" customFormat="1" ht="5.9" customHeight="1">
      <c r="A85" s="402"/>
      <c r="B85" s="402"/>
      <c r="C85" s="402"/>
      <c r="D85" s="9"/>
      <c r="E85" s="402"/>
      <c r="F85" s="402"/>
      <c r="G85" s="12"/>
      <c r="H85" s="12"/>
      <c r="I85" s="13"/>
      <c r="J85" s="12"/>
      <c r="K85" s="402"/>
      <c r="L85" s="402"/>
      <c r="M85" s="402"/>
      <c r="N85" s="531"/>
      <c r="O85" s="531"/>
      <c r="P85" s="531"/>
      <c r="Q85" s="531"/>
      <c r="R85" s="531"/>
    </row>
    <row r="86" spans="1:18" s="1" customFormat="1" ht="15.55">
      <c r="A86" s="1035" t="s">
        <v>555</v>
      </c>
      <c r="B86" s="1035"/>
      <c r="C86" s="1035"/>
      <c r="D86" s="1035"/>
      <c r="E86" s="1035"/>
      <c r="F86" s="1035"/>
      <c r="G86" s="1035"/>
      <c r="H86" s="1035"/>
      <c r="I86" s="1035"/>
      <c r="J86" s="1035"/>
      <c r="K86" s="500"/>
      <c r="L86" s="402"/>
      <c r="M86" s="402"/>
      <c r="N86" s="531"/>
      <c r="O86" s="531"/>
      <c r="P86" s="531"/>
      <c r="Q86" s="531"/>
      <c r="R86" s="531"/>
    </row>
    <row r="87" spans="1:18" s="1" customFormat="1" ht="5.5" customHeight="1">
      <c r="A87" s="402"/>
      <c r="B87" s="402"/>
      <c r="C87" s="402"/>
      <c r="D87" s="9"/>
      <c r="E87" s="402"/>
      <c r="F87" s="402"/>
      <c r="G87" s="12"/>
      <c r="H87" s="12"/>
      <c r="I87" s="13"/>
      <c r="J87" s="12"/>
      <c r="K87" s="402"/>
      <c r="L87" s="402"/>
      <c r="M87" s="402"/>
      <c r="N87" s="531"/>
      <c r="O87" s="531"/>
      <c r="P87" s="531"/>
      <c r="Q87" s="531"/>
      <c r="R87" s="531"/>
    </row>
    <row r="88" spans="1:18" s="1" customFormat="1" ht="13" customHeight="1">
      <c r="A88" s="402"/>
      <c r="B88" s="1086" t="s">
        <v>273</v>
      </c>
      <c r="C88" s="1086"/>
      <c r="D88" s="1086"/>
      <c r="E88" s="523"/>
      <c r="F88" s="523"/>
      <c r="G88" s="523"/>
      <c r="H88" s="523"/>
      <c r="I88" s="211"/>
      <c r="J88" s="211"/>
      <c r="K88" s="211"/>
      <c r="L88" s="402"/>
      <c r="M88" s="402"/>
      <c r="N88" s="531"/>
      <c r="O88" s="531"/>
      <c r="P88" s="531"/>
      <c r="Q88" s="531"/>
      <c r="R88" s="531"/>
    </row>
    <row r="89" spans="1:18" s="1" customFormat="1" ht="13" customHeight="1">
      <c r="A89" s="402"/>
      <c r="B89" s="402"/>
      <c r="C89" s="519" t="s">
        <v>30</v>
      </c>
      <c r="D89" s="519" t="s">
        <v>117</v>
      </c>
      <c r="E89" s="27"/>
      <c r="F89" s="27"/>
      <c r="G89" s="519"/>
      <c r="H89" s="519"/>
      <c r="I89" s="17"/>
      <c r="J89" s="17"/>
      <c r="K89" s="17"/>
      <c r="L89" s="402"/>
      <c r="M89" s="402"/>
      <c r="N89" s="531"/>
      <c r="O89" s="531"/>
      <c r="P89" s="531"/>
      <c r="Q89" s="531"/>
      <c r="R89" s="531"/>
    </row>
    <row r="90" spans="1:18" s="1" customFormat="1" ht="13" customHeight="1">
      <c r="A90" s="402"/>
      <c r="B90" s="531"/>
      <c r="C90" s="1032" t="s">
        <v>290</v>
      </c>
      <c r="D90" s="1032"/>
      <c r="E90" s="520"/>
      <c r="F90" s="402"/>
      <c r="G90" s="1032"/>
      <c r="H90" s="1032"/>
      <c r="I90" s="27"/>
      <c r="J90" s="17"/>
      <c r="K90" s="17"/>
      <c r="L90" s="402"/>
      <c r="M90" s="402"/>
      <c r="N90" s="531"/>
      <c r="O90" s="531"/>
      <c r="P90" s="531"/>
      <c r="Q90" s="531"/>
      <c r="R90" s="531"/>
    </row>
    <row r="91" spans="1:18" s="456" customFormat="1" ht="13" customHeight="1">
      <c r="A91" s="402"/>
      <c r="B91" s="528" t="s">
        <v>64</v>
      </c>
      <c r="C91" s="459">
        <f>D121</f>
        <v>132.08556149732618</v>
      </c>
      <c r="D91" s="459">
        <f>D196</f>
        <v>132.08556149732618</v>
      </c>
      <c r="E91" s="520"/>
      <c r="F91" s="402"/>
      <c r="G91" s="520"/>
      <c r="H91" s="520"/>
      <c r="I91" s="27"/>
      <c r="J91" s="17"/>
      <c r="K91" s="17"/>
      <c r="L91" s="402"/>
      <c r="M91" s="402"/>
      <c r="N91" s="531"/>
      <c r="O91" s="531"/>
      <c r="P91" s="531"/>
      <c r="Q91" s="531"/>
      <c r="R91" s="531"/>
    </row>
    <row r="92" spans="1:18" s="1" customFormat="1" ht="13" customHeight="1">
      <c r="A92" s="402"/>
      <c r="B92" s="528" t="s">
        <v>71</v>
      </c>
      <c r="C92" s="220">
        <f>Eingabe!D45</f>
        <v>53.973326745717607</v>
      </c>
      <c r="D92" s="220">
        <f>Eingabe!F45</f>
        <v>34.202213971405548</v>
      </c>
      <c r="E92" s="221"/>
      <c r="F92" s="221"/>
      <c r="G92" s="222"/>
      <c r="H92" s="222"/>
      <c r="I92" s="27"/>
      <c r="J92" s="17"/>
      <c r="K92" s="17"/>
      <c r="L92" s="402"/>
      <c r="M92" s="402"/>
      <c r="N92" s="531"/>
      <c r="O92" s="531"/>
      <c r="P92" s="531"/>
      <c r="Q92" s="531"/>
      <c r="R92" s="531"/>
    </row>
    <row r="93" spans="1:18" s="1" customFormat="1" ht="13" customHeight="1">
      <c r="A93" s="402"/>
      <c r="B93" s="528" t="s">
        <v>123</v>
      </c>
      <c r="C93" s="220">
        <f>Eingabe!D46</f>
        <v>59.246248656498729</v>
      </c>
      <c r="D93" s="271">
        <f>Eingabe!F46</f>
        <v>84.75</v>
      </c>
      <c r="E93" s="221"/>
      <c r="F93" s="221"/>
      <c r="G93" s="222"/>
      <c r="H93" s="222"/>
      <c r="I93" s="27"/>
      <c r="J93" s="17"/>
      <c r="K93" s="17"/>
      <c r="L93" s="402"/>
      <c r="M93" s="402"/>
      <c r="N93" s="531"/>
      <c r="O93" s="531"/>
      <c r="P93" s="531"/>
      <c r="Q93" s="531"/>
      <c r="R93" s="531"/>
    </row>
    <row r="94" spans="1:18" s="1" customFormat="1" ht="13" customHeight="1">
      <c r="A94" s="402"/>
      <c r="B94" s="528" t="s">
        <v>65</v>
      </c>
      <c r="C94" s="220">
        <f>Eingabe!D47</f>
        <v>30.470483311968351</v>
      </c>
      <c r="D94" s="220">
        <f>Eingabe!F47</f>
        <v>30.470483311968351</v>
      </c>
      <c r="E94" s="221"/>
      <c r="F94" s="221"/>
      <c r="G94" s="222"/>
      <c r="H94" s="222"/>
      <c r="I94" s="17"/>
      <c r="J94" s="17"/>
      <c r="K94" s="17"/>
      <c r="L94" s="402"/>
      <c r="M94" s="402"/>
      <c r="N94" s="531"/>
      <c r="O94" s="531"/>
      <c r="P94" s="531"/>
      <c r="Q94" s="531"/>
      <c r="R94" s="531"/>
    </row>
    <row r="95" spans="1:18" s="456" customFormat="1" ht="13" customHeight="1">
      <c r="A95" s="402"/>
      <c r="B95" s="528" t="s">
        <v>494</v>
      </c>
      <c r="C95" s="460">
        <f>Eingabe!D48</f>
        <v>134.93331686429403</v>
      </c>
      <c r="D95" s="461" t="s">
        <v>434</v>
      </c>
      <c r="E95" s="221"/>
      <c r="F95" s="221"/>
      <c r="G95" s="222"/>
      <c r="H95" s="222"/>
      <c r="I95" s="17"/>
      <c r="J95" s="17"/>
      <c r="K95" s="17"/>
      <c r="L95" s="402"/>
      <c r="M95" s="402"/>
      <c r="N95" s="531"/>
      <c r="O95" s="531"/>
      <c r="P95" s="531"/>
      <c r="Q95" s="531"/>
      <c r="R95" s="531"/>
    </row>
    <row r="96" spans="1:18" s="1" customFormat="1" ht="13" customHeight="1">
      <c r="A96" s="402"/>
      <c r="B96" s="223" t="s">
        <v>296</v>
      </c>
      <c r="C96" s="524">
        <f>Eingabe!D49</f>
        <v>80.977854917309827</v>
      </c>
      <c r="D96" s="524">
        <f>Eingabe!F49</f>
        <v>84.795996148612602</v>
      </c>
      <c r="E96" s="27"/>
      <c r="F96" s="27"/>
      <c r="G96" s="524"/>
      <c r="H96" s="524"/>
      <c r="I96" s="17"/>
      <c r="J96" s="17"/>
      <c r="K96" s="17"/>
      <c r="L96" s="402"/>
      <c r="M96" s="402"/>
      <c r="N96" s="531"/>
      <c r="O96" s="531"/>
      <c r="P96" s="531"/>
      <c r="Q96" s="531"/>
      <c r="R96" s="531"/>
    </row>
    <row r="97" spans="1:18" s="1" customFormat="1" ht="13" customHeight="1">
      <c r="A97" s="402"/>
      <c r="B97" s="1085" t="str">
        <f>Eingabe!F29</f>
        <v>Verankerung Mittelbereich zulässig</v>
      </c>
      <c r="C97" s="1085"/>
      <c r="D97" s="1085"/>
      <c r="E97" s="524"/>
      <c r="F97" s="524"/>
      <c r="G97" s="524"/>
      <c r="H97" s="524"/>
      <c r="I97" s="17"/>
      <c r="J97" s="17"/>
      <c r="K97" s="17"/>
      <c r="L97" s="402"/>
      <c r="M97" s="402"/>
      <c r="N97" s="531"/>
      <c r="O97" s="531"/>
      <c r="P97" s="531"/>
      <c r="Q97" s="531"/>
      <c r="R97" s="531"/>
    </row>
    <row r="98" spans="1:18" s="1" customFormat="1" ht="5.9" customHeight="1">
      <c r="A98" s="402"/>
      <c r="B98" s="17"/>
      <c r="C98" s="164"/>
      <c r="D98" s="164"/>
      <c r="E98" s="402"/>
      <c r="F98" s="402"/>
      <c r="G98" s="219"/>
      <c r="H98" s="219"/>
      <c r="I98" s="211"/>
      <c r="J98" s="211"/>
      <c r="K98" s="211"/>
      <c r="L98" s="402"/>
      <c r="M98" s="402"/>
      <c r="N98" s="531"/>
      <c r="O98" s="531"/>
      <c r="P98" s="531"/>
      <c r="Q98" s="531"/>
      <c r="R98" s="531"/>
    </row>
    <row r="99" spans="1:18" s="1" customFormat="1" ht="13" customHeight="1">
      <c r="A99" s="402"/>
      <c r="B99" s="1086" t="s">
        <v>516</v>
      </c>
      <c r="C99" s="1086"/>
      <c r="D99" s="1086"/>
      <c r="E99" s="523"/>
      <c r="F99" s="523"/>
      <c r="G99" s="523"/>
      <c r="H99" s="523"/>
      <c r="I99" s="17"/>
      <c r="J99" s="17"/>
      <c r="K99" s="17"/>
      <c r="L99" s="402"/>
      <c r="M99" s="402"/>
      <c r="N99" s="402"/>
      <c r="O99" s="272"/>
      <c r="P99" s="10"/>
      <c r="Q99" s="402"/>
      <c r="R99" s="531"/>
    </row>
    <row r="100" spans="1:18" s="1" customFormat="1" ht="13" customHeight="1">
      <c r="A100" s="402"/>
      <c r="B100" s="402"/>
      <c r="C100" s="519" t="s">
        <v>30</v>
      </c>
      <c r="D100" s="519" t="s">
        <v>117</v>
      </c>
      <c r="E100" s="27"/>
      <c r="F100" s="27"/>
      <c r="G100" s="519"/>
      <c r="H100" s="519"/>
      <c r="I100" s="165"/>
      <c r="J100" s="165"/>
      <c r="K100" s="17"/>
      <c r="L100" s="402"/>
      <c r="M100" s="402"/>
      <c r="N100" s="402"/>
      <c r="O100" s="272"/>
      <c r="P100" s="10"/>
      <c r="Q100" s="402"/>
      <c r="R100" s="531"/>
    </row>
    <row r="101" spans="1:18" s="1" customFormat="1" ht="13" customHeight="1">
      <c r="A101" s="402"/>
      <c r="B101" s="531"/>
      <c r="C101" s="1032" t="s">
        <v>290</v>
      </c>
      <c r="D101" s="1032"/>
      <c r="E101" s="520"/>
      <c r="F101" s="402"/>
      <c r="G101" s="1032"/>
      <c r="H101" s="1032"/>
      <c r="I101" s="165"/>
      <c r="J101" s="165"/>
      <c r="K101" s="17"/>
      <c r="L101" s="402"/>
      <c r="M101" s="402"/>
      <c r="N101" s="402"/>
      <c r="O101" s="272"/>
      <c r="P101" s="10"/>
      <c r="Q101" s="402"/>
      <c r="R101" s="531"/>
    </row>
    <row r="102" spans="1:18" s="456" customFormat="1" ht="13" customHeight="1">
      <c r="A102" s="402"/>
      <c r="B102" s="528" t="s">
        <v>64</v>
      </c>
      <c r="C102" s="459">
        <f>D254</f>
        <v>132.08556149732618</v>
      </c>
      <c r="D102" s="459">
        <f>D329</f>
        <v>132.08556149732618</v>
      </c>
      <c r="E102" s="520"/>
      <c r="F102" s="402"/>
      <c r="G102" s="520"/>
      <c r="H102" s="520"/>
      <c r="I102" s="165"/>
      <c r="J102" s="165"/>
      <c r="K102" s="17"/>
      <c r="L102" s="402"/>
      <c r="M102" s="402"/>
      <c r="N102" s="402"/>
      <c r="O102" s="272"/>
      <c r="P102" s="10"/>
      <c r="Q102" s="402"/>
      <c r="R102" s="531"/>
    </row>
    <row r="103" spans="1:18" s="1" customFormat="1" ht="13" customHeight="1">
      <c r="A103" s="402"/>
      <c r="B103" s="528" t="s">
        <v>71</v>
      </c>
      <c r="C103" s="220">
        <f>Eingabe!D57</f>
        <v>53.973326745717607</v>
      </c>
      <c r="D103" s="220">
        <f>Eingabe!F57</f>
        <v>34.202213971405548</v>
      </c>
      <c r="E103" s="221"/>
      <c r="F103" s="221"/>
      <c r="G103" s="222"/>
      <c r="H103" s="222"/>
      <c r="I103" s="165"/>
      <c r="J103" s="165"/>
      <c r="K103" s="17"/>
      <c r="L103" s="402"/>
      <c r="M103" s="402"/>
      <c r="N103" s="402"/>
      <c r="O103" s="272"/>
      <c r="P103" s="10"/>
      <c r="Q103" s="402"/>
      <c r="R103" s="531"/>
    </row>
    <row r="104" spans="1:18" s="1" customFormat="1" ht="13" customHeight="1">
      <c r="A104" s="402"/>
      <c r="B104" s="528" t="s">
        <v>123</v>
      </c>
      <c r="C104" s="220">
        <f>Eingabe!D58</f>
        <v>59.246248656498729</v>
      </c>
      <c r="D104" s="271">
        <f>Eingabe!F58</f>
        <v>84.75</v>
      </c>
      <c r="E104" s="221"/>
      <c r="F104" s="221"/>
      <c r="G104" s="222"/>
      <c r="H104" s="222"/>
      <c r="I104" s="165"/>
      <c r="J104" s="165"/>
      <c r="K104" s="17"/>
      <c r="L104" s="402"/>
      <c r="M104" s="402"/>
      <c r="N104" s="402"/>
      <c r="O104" s="272"/>
      <c r="P104" s="10"/>
      <c r="Q104" s="402"/>
      <c r="R104" s="531"/>
    </row>
    <row r="105" spans="1:18" s="1" customFormat="1" ht="13" customHeight="1">
      <c r="A105" s="402"/>
      <c r="B105" s="528" t="s">
        <v>65</v>
      </c>
      <c r="C105" s="220">
        <f>Eingabe!D59</f>
        <v>30.368493181626725</v>
      </c>
      <c r="D105" s="220">
        <f>Eingabe!F59</f>
        <v>30.368493181626725</v>
      </c>
      <c r="E105" s="221"/>
      <c r="F105" s="221"/>
      <c r="G105" s="222"/>
      <c r="H105" s="222"/>
      <c r="I105" s="17"/>
      <c r="J105" s="17"/>
      <c r="K105" s="17"/>
      <c r="L105" s="402"/>
      <c r="M105" s="402"/>
      <c r="N105" s="402"/>
      <c r="O105" s="272"/>
      <c r="P105" s="9"/>
      <c r="Q105" s="273"/>
      <c r="R105" s="531"/>
    </row>
    <row r="106" spans="1:18" s="456" customFormat="1" ht="13" customHeight="1">
      <c r="A106" s="402"/>
      <c r="B106" s="528" t="s">
        <v>494</v>
      </c>
      <c r="C106" s="460">
        <f>Eingabe!D60</f>
        <v>134.93331686429403</v>
      </c>
      <c r="D106" s="461" t="s">
        <v>434</v>
      </c>
      <c r="E106" s="221"/>
      <c r="F106" s="221"/>
      <c r="G106" s="222"/>
      <c r="H106" s="222"/>
      <c r="I106" s="17"/>
      <c r="J106" s="17"/>
      <c r="K106" s="17"/>
      <c r="L106" s="402"/>
      <c r="M106" s="402"/>
      <c r="N106" s="402"/>
      <c r="O106" s="272"/>
      <c r="P106" s="9"/>
      <c r="Q106" s="273"/>
      <c r="R106" s="531"/>
    </row>
    <row r="107" spans="1:18" s="1" customFormat="1" ht="13" customHeight="1">
      <c r="A107" s="402"/>
      <c r="B107" s="223" t="s">
        <v>296</v>
      </c>
      <c r="C107" s="524">
        <f>Eingabe!D61</f>
        <v>89.371662153152812</v>
      </c>
      <c r="D107" s="524">
        <f>Eingabe!F61</f>
        <v>93.571617507585842</v>
      </c>
      <c r="E107" s="27"/>
      <c r="F107" s="27"/>
      <c r="G107" s="524"/>
      <c r="H107" s="524"/>
      <c r="I107" s="17"/>
      <c r="J107" s="17"/>
      <c r="K107" s="17"/>
      <c r="L107" s="402"/>
      <c r="M107" s="402"/>
      <c r="N107" s="402"/>
      <c r="O107" s="272"/>
      <c r="P107" s="9"/>
      <c r="Q107" s="273"/>
      <c r="R107" s="531"/>
    </row>
    <row r="108" spans="1:18" s="1" customFormat="1" ht="13" customHeight="1">
      <c r="A108" s="402"/>
      <c r="B108" s="1036" t="str">
        <f>Eingabe!F33</f>
        <v>Verankerung Randbereich zulässig</v>
      </c>
      <c r="C108" s="1036"/>
      <c r="D108" s="1036"/>
      <c r="E108" s="519"/>
      <c r="F108" s="519"/>
      <c r="G108" s="519"/>
      <c r="H108" s="519"/>
      <c r="I108" s="17"/>
      <c r="J108" s="17"/>
      <c r="K108" s="17"/>
      <c r="L108" s="402"/>
      <c r="M108" s="402"/>
      <c r="N108" s="402"/>
      <c r="O108" s="272"/>
      <c r="P108" s="9"/>
      <c r="Q108" s="273"/>
      <c r="R108" s="531"/>
    </row>
    <row r="109" spans="1:18" s="1" customFormat="1" ht="6.8" customHeight="1">
      <c r="A109" s="402"/>
      <c r="B109" s="17"/>
      <c r="C109" s="519"/>
      <c r="D109" s="519"/>
      <c r="E109" s="519"/>
      <c r="F109" s="519"/>
      <c r="G109" s="519"/>
      <c r="H109" s="519"/>
      <c r="I109" s="17"/>
      <c r="J109" s="17"/>
      <c r="K109" s="17"/>
      <c r="L109" s="402"/>
      <c r="M109" s="402"/>
      <c r="N109" s="402"/>
      <c r="O109" s="272"/>
      <c r="P109" s="9"/>
      <c r="Q109" s="273"/>
      <c r="R109" s="531"/>
    </row>
    <row r="110" spans="1:18" s="1" customFormat="1" ht="13" customHeight="1">
      <c r="A110" s="1036" t="s">
        <v>580</v>
      </c>
      <c r="B110" s="1036"/>
      <c r="C110" s="1036"/>
      <c r="D110" s="1036"/>
      <c r="E110" s="1036"/>
      <c r="F110" s="1036"/>
      <c r="G110" s="1036"/>
      <c r="H110" s="1036"/>
      <c r="I110" s="1036"/>
      <c r="J110" s="1036"/>
      <c r="K110" s="521"/>
      <c r="L110" s="402"/>
      <c r="M110" s="402"/>
      <c r="N110" s="402"/>
      <c r="O110" s="272"/>
      <c r="P110" s="9"/>
      <c r="Q110" s="273"/>
      <c r="R110" s="531"/>
    </row>
    <row r="111" spans="1:18" s="1" customFormat="1" ht="13" customHeight="1">
      <c r="A111" s="1037" t="str">
        <f>"Querkraftübertragung Kappe → Tragwerk (Überbau): "&amp;(Eingabe!C33)</f>
        <v>Querkraftübertragung Kappe → Tragwerk (Überbau): Kappenverankerung HCC</v>
      </c>
      <c r="B111" s="1037"/>
      <c r="C111" s="1037"/>
      <c r="D111" s="1037"/>
      <c r="E111" s="1037"/>
      <c r="F111" s="1037"/>
      <c r="G111" s="1037"/>
      <c r="H111" s="1037"/>
      <c r="I111" s="1037"/>
      <c r="J111" s="1037"/>
      <c r="K111" s="522"/>
      <c r="L111" s="402"/>
      <c r="M111" s="402"/>
      <c r="N111" s="402"/>
      <c r="O111" s="272"/>
      <c r="P111" s="9"/>
      <c r="Q111" s="273"/>
      <c r="R111" s="531"/>
    </row>
    <row r="112" spans="1:18" s="1" customFormat="1" ht="4.75" customHeight="1">
      <c r="A112" s="402"/>
      <c r="B112" s="520"/>
      <c r="C112" s="520"/>
      <c r="D112" s="520"/>
      <c r="E112" s="520"/>
      <c r="F112" s="520"/>
      <c r="G112" s="520"/>
      <c r="H112" s="520"/>
      <c r="I112" s="520"/>
      <c r="J112" s="520"/>
      <c r="K112" s="520"/>
      <c r="L112" s="402"/>
      <c r="M112" s="402"/>
      <c r="N112" s="402"/>
      <c r="O112" s="272"/>
      <c r="P112" s="9"/>
      <c r="Q112" s="273"/>
      <c r="R112" s="531"/>
    </row>
    <row r="113" spans="1:18" s="1" customFormat="1" ht="16" customHeight="1">
      <c r="A113" s="1035" t="s">
        <v>540</v>
      </c>
      <c r="B113" s="1035"/>
      <c r="C113" s="1035"/>
      <c r="D113" s="1035"/>
      <c r="E113" s="1035"/>
      <c r="F113" s="1035"/>
      <c r="G113" s="1035"/>
      <c r="H113" s="1035"/>
      <c r="I113" s="1035"/>
      <c r="J113" s="1035"/>
      <c r="K113" s="500"/>
      <c r="L113" s="402"/>
      <c r="M113" s="402"/>
      <c r="N113" s="402"/>
      <c r="O113" s="272"/>
      <c r="P113" s="9"/>
      <c r="Q113" s="273"/>
      <c r="R113" s="531"/>
    </row>
    <row r="114" spans="1:18" s="1" customFormat="1" ht="83.25" customHeight="1">
      <c r="A114" s="402"/>
      <c r="B114" s="1068" t="s">
        <v>1551</v>
      </c>
      <c r="C114" s="1055"/>
      <c r="D114" s="1055"/>
      <c r="E114" s="1055"/>
      <c r="F114" s="1055"/>
      <c r="G114" s="1055"/>
      <c r="H114" s="1055"/>
      <c r="I114" s="1055"/>
      <c r="J114" s="12"/>
      <c r="K114" s="402"/>
      <c r="L114" s="402"/>
      <c r="M114" s="402"/>
      <c r="N114" s="531"/>
      <c r="O114" s="531"/>
      <c r="P114" s="531"/>
      <c r="Q114" s="531"/>
      <c r="R114" s="531"/>
    </row>
    <row r="115" spans="1:18" s="239" customFormat="1" ht="14.15" customHeight="1">
      <c r="A115" s="1033" t="s">
        <v>1154</v>
      </c>
      <c r="B115" s="1033"/>
      <c r="C115" s="1033"/>
      <c r="D115" s="1033"/>
      <c r="E115" s="1033"/>
      <c r="F115" s="1033"/>
      <c r="G115" s="1033"/>
      <c r="H115" s="1033"/>
      <c r="I115" s="1033"/>
      <c r="J115" s="1033"/>
      <c r="K115" s="502"/>
      <c r="L115" s="224"/>
      <c r="M115" s="17"/>
    </row>
    <row r="116" spans="1:18" s="239" customFormat="1" ht="5.9" customHeight="1">
      <c r="A116" s="228"/>
      <c r="B116" s="242"/>
      <c r="C116" s="242"/>
      <c r="D116" s="242"/>
      <c r="E116" s="242"/>
      <c r="F116" s="242"/>
      <c r="G116" s="242"/>
      <c r="H116" s="242"/>
      <c r="I116" s="242"/>
      <c r="J116" s="242"/>
      <c r="K116" s="228"/>
      <c r="L116" s="224"/>
      <c r="M116" s="17"/>
    </row>
    <row r="117" spans="1:18" s="239" customFormat="1" ht="13" customHeight="1">
      <c r="A117" s="1032" t="s">
        <v>514</v>
      </c>
      <c r="B117" s="1032"/>
      <c r="C117" s="1032"/>
      <c r="D117" s="1032"/>
      <c r="E117" s="1032"/>
      <c r="F117" s="1032"/>
      <c r="G117" s="1032"/>
      <c r="H117" s="1032"/>
      <c r="I117" s="1032"/>
      <c r="J117" s="1032"/>
      <c r="K117" s="520"/>
      <c r="L117" s="224"/>
      <c r="M117" s="17"/>
    </row>
    <row r="118" spans="1:18" s="239" customFormat="1" ht="13" customHeight="1">
      <c r="A118" s="17"/>
      <c r="B118" s="14" t="s">
        <v>1</v>
      </c>
      <c r="C118" s="232"/>
      <c r="D118" s="232"/>
      <c r="E118" s="232"/>
      <c r="F118" s="17"/>
      <c r="G118" s="527"/>
      <c r="H118" s="527"/>
      <c r="I118" s="527"/>
      <c r="J118" s="527"/>
      <c r="K118" s="17"/>
      <c r="L118" s="224"/>
      <c r="M118" s="17"/>
    </row>
    <row r="119" spans="1:18" s="239" customFormat="1" ht="13" customHeight="1">
      <c r="A119" s="17"/>
      <c r="B119" s="17"/>
      <c r="C119" s="527" t="s">
        <v>4</v>
      </c>
      <c r="D119" s="21">
        <f>INDEX(Tragwerk!$B$23:$D$23,1,MATCH(Eingabe!$C$4,Tragwerk!$B$14:$D$14))</f>
        <v>247</v>
      </c>
      <c r="E119" s="19" t="s">
        <v>2</v>
      </c>
      <c r="F119" s="17"/>
      <c r="G119" s="527" t="s">
        <v>358</v>
      </c>
      <c r="H119" s="527"/>
      <c r="I119" s="527"/>
      <c r="J119" s="527"/>
      <c r="K119" s="17"/>
      <c r="L119" s="224"/>
      <c r="M119" s="17"/>
    </row>
    <row r="120" spans="1:18" s="239" customFormat="1" ht="13" customHeight="1">
      <c r="A120" s="17"/>
      <c r="B120" s="17"/>
      <c r="C120" s="17" t="s">
        <v>3</v>
      </c>
      <c r="D120" s="21">
        <f>Tragwerk!$B$24</f>
        <v>1.87</v>
      </c>
      <c r="E120" s="19" t="s">
        <v>7</v>
      </c>
      <c r="F120" s="17"/>
      <c r="G120" s="527" t="s">
        <v>359</v>
      </c>
      <c r="H120" s="527"/>
      <c r="I120" s="527"/>
      <c r="J120" s="527"/>
      <c r="K120" s="17"/>
      <c r="L120" s="224"/>
      <c r="M120" s="17"/>
    </row>
    <row r="121" spans="1:18" s="239" customFormat="1" ht="13" customHeight="1">
      <c r="A121" s="17"/>
      <c r="B121" s="17"/>
      <c r="C121" s="527" t="s">
        <v>64</v>
      </c>
      <c r="D121" s="21">
        <f>INDEX(Tragwerk!B25:D25,1,MATCH(Eingabe!C4,Tragwerk!B14:D14))</f>
        <v>132.08556149732618</v>
      </c>
      <c r="E121" s="19" t="s">
        <v>2</v>
      </c>
      <c r="F121" s="17"/>
      <c r="G121" s="527" t="s">
        <v>73</v>
      </c>
      <c r="H121" s="527"/>
      <c r="I121" s="527"/>
      <c r="J121" s="527"/>
      <c r="K121" s="17"/>
      <c r="L121" s="224"/>
      <c r="M121" s="17"/>
    </row>
    <row r="122" spans="1:18" s="239" customFormat="1" ht="13" customHeight="1">
      <c r="A122" s="17"/>
      <c r="B122" s="17"/>
      <c r="C122" s="527" t="s">
        <v>302</v>
      </c>
      <c r="D122" s="21">
        <f>Tragwerk!$B$60</f>
        <v>4.2779482683033754</v>
      </c>
      <c r="E122" s="19" t="s">
        <v>2</v>
      </c>
      <c r="F122" s="17"/>
      <c r="G122" s="527" t="s">
        <v>75</v>
      </c>
      <c r="H122" s="527"/>
      <c r="I122" s="527"/>
      <c r="J122" s="527"/>
      <c r="K122" s="17"/>
      <c r="L122" s="224"/>
      <c r="M122" s="17"/>
    </row>
    <row r="123" spans="1:18" s="239" customFormat="1" ht="13" customHeight="1">
      <c r="A123" s="17"/>
      <c r="B123" s="17"/>
      <c r="C123" s="25" t="s">
        <v>88</v>
      </c>
      <c r="D123" s="26">
        <f>D122/D121</f>
        <v>3.2387705513066044E-2</v>
      </c>
      <c r="E123" s="520" t="s">
        <v>7</v>
      </c>
      <c r="F123" s="27"/>
      <c r="G123" s="24" t="s">
        <v>46</v>
      </c>
      <c r="H123" s="527"/>
      <c r="I123" s="527"/>
      <c r="J123" s="527"/>
      <c r="K123" s="17"/>
      <c r="L123" s="224"/>
      <c r="M123" s="527"/>
      <c r="N123" s="527"/>
      <c r="O123" s="18"/>
      <c r="P123" s="17"/>
    </row>
    <row r="124" spans="1:18" s="239" customFormat="1" ht="5.9" customHeight="1">
      <c r="A124" s="228"/>
      <c r="B124" s="242"/>
      <c r="C124" s="242"/>
      <c r="D124" s="242"/>
      <c r="E124" s="242"/>
      <c r="F124" s="242"/>
      <c r="G124" s="242"/>
      <c r="H124" s="242"/>
      <c r="I124" s="242"/>
      <c r="J124" s="242"/>
      <c r="K124" s="228"/>
      <c r="L124" s="224"/>
      <c r="M124" s="17"/>
    </row>
    <row r="125" spans="1:18" s="239" customFormat="1" ht="13" customHeight="1">
      <c r="A125" s="224"/>
      <c r="B125" s="233" t="s">
        <v>132</v>
      </c>
      <c r="C125" s="19"/>
      <c r="D125" s="19"/>
      <c r="E125" s="17"/>
      <c r="F125" s="17"/>
      <c r="G125" s="527"/>
      <c r="H125" s="527"/>
      <c r="I125" s="527"/>
      <c r="J125" s="225"/>
      <c r="K125" s="224"/>
      <c r="L125" s="224"/>
      <c r="M125" s="527"/>
      <c r="N125" s="527"/>
      <c r="O125" s="18"/>
      <c r="P125" s="17"/>
    </row>
    <row r="126" spans="1:18" s="239" customFormat="1" ht="13" customHeight="1">
      <c r="A126" s="224"/>
      <c r="B126" s="233"/>
      <c r="C126" s="527" t="s">
        <v>6</v>
      </c>
      <c r="D126" s="21">
        <f>INDEX(Tragwerk!$B$27:$D$27,1,MATCH(Eingabe!$C$4,Tragwerk!$B$14:$D$14))</f>
        <v>84.446010528493645</v>
      </c>
      <c r="E126" s="19" t="s">
        <v>2</v>
      </c>
      <c r="F126" s="17"/>
      <c r="G126" s="527" t="s">
        <v>358</v>
      </c>
      <c r="H126" s="527"/>
      <c r="I126" s="527"/>
      <c r="J126" s="225"/>
      <c r="K126" s="224"/>
      <c r="L126" s="224"/>
      <c r="M126" s="527"/>
      <c r="N126" s="527"/>
      <c r="O126" s="18"/>
      <c r="P126" s="17"/>
    </row>
    <row r="127" spans="1:18" s="239" customFormat="1" ht="13" customHeight="1">
      <c r="A127" s="224"/>
      <c r="B127" s="233"/>
      <c r="C127" s="234" t="s">
        <v>129</v>
      </c>
      <c r="D127" s="21">
        <f>INDEX(Tragwerk!$B$28:$D$28,1,MATCH(Eingabe!$C$4,Tragwerk!$B$14:$D$14))</f>
        <v>420</v>
      </c>
      <c r="E127" s="19" t="s">
        <v>0</v>
      </c>
      <c r="F127" s="17"/>
      <c r="G127" s="527" t="s">
        <v>1559</v>
      </c>
      <c r="H127" s="527"/>
      <c r="I127" s="527"/>
      <c r="J127" s="225"/>
      <c r="K127" s="224"/>
      <c r="L127" s="224"/>
      <c r="M127" s="527"/>
      <c r="N127" s="527"/>
      <c r="O127" s="18"/>
      <c r="P127" s="17"/>
    </row>
    <row r="128" spans="1:18" s="239" customFormat="1" ht="13" customHeight="1">
      <c r="A128" s="224"/>
      <c r="B128" s="233"/>
      <c r="C128" s="234" t="s">
        <v>130</v>
      </c>
      <c r="D128" s="20">
        <f>INDEX(Tragwerk!$B$29:$D$29,1,MATCH(Eingabe!$C$4,Tragwerk!$B$14:$D$14))</f>
        <v>176400</v>
      </c>
      <c r="E128" s="19" t="s">
        <v>16</v>
      </c>
      <c r="F128" s="17"/>
      <c r="G128" s="527" t="s">
        <v>1554</v>
      </c>
      <c r="H128" s="527"/>
      <c r="I128" s="527"/>
      <c r="J128" s="225"/>
      <c r="K128" s="224"/>
      <c r="L128" s="224"/>
      <c r="M128" s="527"/>
      <c r="N128" s="527"/>
      <c r="O128" s="18"/>
      <c r="P128" s="17"/>
    </row>
    <row r="129" spans="1:16" s="239" customFormat="1" ht="13" customHeight="1">
      <c r="A129" s="224"/>
      <c r="B129" s="233"/>
      <c r="C129" s="234" t="s">
        <v>131</v>
      </c>
      <c r="D129" s="20">
        <f>INDEX(Tragwerk!$B$30:$D$30,1,MATCH(Eingabe!$C$4,Tragwerk!$B$14:$D$14))</f>
        <v>142800</v>
      </c>
      <c r="E129" s="19" t="s">
        <v>16</v>
      </c>
      <c r="F129" s="17"/>
      <c r="G129" s="527" t="s">
        <v>1554</v>
      </c>
      <c r="H129" s="527"/>
      <c r="I129" s="527"/>
      <c r="J129" s="225"/>
      <c r="K129" s="224"/>
      <c r="L129" s="224"/>
      <c r="M129" s="527"/>
      <c r="N129" s="527"/>
      <c r="O129" s="18"/>
      <c r="P129" s="17"/>
    </row>
    <row r="130" spans="1:16" s="239" customFormat="1" ht="13" customHeight="1">
      <c r="A130" s="224"/>
      <c r="B130" s="233"/>
      <c r="C130" s="234" t="s">
        <v>133</v>
      </c>
      <c r="D130" s="21">
        <f>INDEX(Tragwerk!$B$31:$D$31,1,MATCH(Eingabe!$C$4,Tragwerk!$B$14:$D$14))</f>
        <v>1</v>
      </c>
      <c r="E130" s="19" t="s">
        <v>7</v>
      </c>
      <c r="F130" s="17"/>
      <c r="G130" s="527" t="s">
        <v>1324</v>
      </c>
      <c r="H130" s="527"/>
      <c r="I130" s="527"/>
      <c r="J130" s="225"/>
      <c r="K130" s="224"/>
      <c r="L130" s="224"/>
      <c r="M130" s="527"/>
      <c r="N130" s="527"/>
      <c r="O130" s="18"/>
      <c r="P130" s="17"/>
    </row>
    <row r="131" spans="1:16" s="239" customFormat="1" ht="13" customHeight="1">
      <c r="A131" s="224"/>
      <c r="B131" s="233"/>
      <c r="C131" s="234" t="s">
        <v>104</v>
      </c>
      <c r="D131" s="21">
        <f>INDEX(Tragwerk!$B$32:$D$32,1,MATCH(Eingabe!$C$4,Tragwerk!$B$14:$D$14))</f>
        <v>1</v>
      </c>
      <c r="E131" s="19" t="s">
        <v>7</v>
      </c>
      <c r="F131" s="17"/>
      <c r="G131" s="527" t="s">
        <v>1324</v>
      </c>
      <c r="H131" s="527"/>
      <c r="I131" s="527"/>
      <c r="J131" s="225"/>
      <c r="K131" s="224"/>
      <c r="L131" s="224"/>
      <c r="M131" s="527"/>
      <c r="N131" s="527"/>
      <c r="O131" s="18"/>
      <c r="P131" s="17"/>
    </row>
    <row r="132" spans="1:16" s="239" customFormat="1" ht="13" customHeight="1">
      <c r="A132" s="224"/>
      <c r="B132" s="233"/>
      <c r="C132" s="234" t="s">
        <v>110</v>
      </c>
      <c r="D132" s="19">
        <f>INDEX(Tragwerk!$B$33:$D$33,1,MATCH(Eingabe!$C$4,Tragwerk!$B$14:$D$14))</f>
        <v>1.04</v>
      </c>
      <c r="E132" s="19" t="s">
        <v>7</v>
      </c>
      <c r="F132" s="17"/>
      <c r="G132" s="527" t="s">
        <v>360</v>
      </c>
      <c r="H132" s="527"/>
      <c r="I132" s="527"/>
      <c r="J132" s="225"/>
      <c r="K132" s="224"/>
      <c r="L132" s="224"/>
      <c r="M132" s="527"/>
      <c r="N132" s="527"/>
      <c r="O132" s="18"/>
      <c r="P132" s="17"/>
    </row>
    <row r="133" spans="1:16" s="239" customFormat="1" ht="13" customHeight="1">
      <c r="A133" s="224"/>
      <c r="B133" s="233"/>
      <c r="C133" s="234" t="s">
        <v>111</v>
      </c>
      <c r="D133" s="19">
        <f>INDEX(Tragwerk!$B$34:$D$34,1,MATCH(Eingabe!$C$4,Tragwerk!$B$14:$D$14))</f>
        <v>1.07</v>
      </c>
      <c r="E133" s="19" t="s">
        <v>7</v>
      </c>
      <c r="F133" s="17"/>
      <c r="G133" s="527" t="s">
        <v>360</v>
      </c>
      <c r="H133" s="527"/>
      <c r="I133" s="527"/>
      <c r="J133" s="225"/>
      <c r="K133" s="224"/>
      <c r="L133" s="224"/>
      <c r="M133" s="527"/>
      <c r="N133" s="527"/>
      <c r="O133" s="18"/>
      <c r="P133" s="17"/>
    </row>
    <row r="134" spans="1:16" s="239" customFormat="1" ht="13" customHeight="1">
      <c r="A134" s="224"/>
      <c r="B134" s="233"/>
      <c r="C134" s="234" t="s">
        <v>112</v>
      </c>
      <c r="D134" s="19">
        <f>INDEX(Tragwerk!$B$35:$D$35,1,MATCH(Eingabe!$C$4,Tragwerk!$B$14:$D$14))</f>
        <v>1.0900000000000001</v>
      </c>
      <c r="E134" s="19" t="s">
        <v>7</v>
      </c>
      <c r="F134" s="17"/>
      <c r="G134" s="527" t="s">
        <v>360</v>
      </c>
      <c r="H134" s="527"/>
      <c r="I134" s="527"/>
      <c r="J134" s="225"/>
      <c r="K134" s="224"/>
      <c r="L134" s="224"/>
      <c r="M134" s="527"/>
      <c r="N134" s="527"/>
      <c r="O134" s="18"/>
      <c r="P134" s="17"/>
    </row>
    <row r="135" spans="1:16" s="239" customFormat="1" ht="13" customHeight="1">
      <c r="A135" s="224"/>
      <c r="B135" s="233"/>
      <c r="C135" s="234" t="s">
        <v>108</v>
      </c>
      <c r="D135" s="19">
        <f>Tragwerk!$B$38</f>
        <v>1.2</v>
      </c>
      <c r="E135" s="19" t="s">
        <v>7</v>
      </c>
      <c r="F135" s="17"/>
      <c r="G135" s="527" t="s">
        <v>1324</v>
      </c>
      <c r="H135" s="527"/>
      <c r="I135" s="527"/>
      <c r="J135" s="225"/>
      <c r="K135" s="224"/>
      <c r="L135" s="224"/>
      <c r="M135" s="527"/>
      <c r="N135" s="527"/>
      <c r="O135" s="18"/>
      <c r="P135" s="17"/>
    </row>
    <row r="136" spans="1:16" s="239" customFormat="1" ht="13" customHeight="1">
      <c r="A136" s="224"/>
      <c r="B136" s="233"/>
      <c r="C136" s="234" t="s">
        <v>123</v>
      </c>
      <c r="D136" s="21">
        <f>INDEX(Tragwerk!B39:D39,1,MATCH(Eingabe!C4,Tragwerk!B14:D14))</f>
        <v>59.246248656498729</v>
      </c>
      <c r="E136" s="19" t="s">
        <v>2</v>
      </c>
      <c r="F136" s="17"/>
      <c r="G136" s="527" t="s">
        <v>73</v>
      </c>
      <c r="H136" s="527"/>
      <c r="I136" s="527"/>
      <c r="J136" s="225"/>
      <c r="K136" s="224"/>
      <c r="L136" s="224"/>
      <c r="M136" s="527"/>
      <c r="N136" s="527"/>
      <c r="O136" s="18"/>
      <c r="P136" s="17"/>
    </row>
    <row r="137" spans="1:16" s="239" customFormat="1" ht="13" customHeight="1">
      <c r="A137" s="224"/>
      <c r="B137" s="233"/>
      <c r="C137" s="527" t="s">
        <v>302</v>
      </c>
      <c r="D137" s="21">
        <f>Tragwerk!$B$60</f>
        <v>4.2779482683033754</v>
      </c>
      <c r="E137" s="19" t="s">
        <v>2</v>
      </c>
      <c r="F137" s="17"/>
      <c r="G137" s="527" t="s">
        <v>75</v>
      </c>
      <c r="H137" s="527"/>
      <c r="I137" s="527"/>
      <c r="J137" s="225"/>
      <c r="K137" s="224"/>
      <c r="L137" s="224"/>
      <c r="M137" s="527"/>
      <c r="N137" s="527"/>
      <c r="O137" s="18"/>
      <c r="P137" s="17"/>
    </row>
    <row r="138" spans="1:16" s="239" customFormat="1" ht="13" customHeight="1">
      <c r="A138" s="224"/>
      <c r="B138" s="17"/>
      <c r="C138" s="25" t="s">
        <v>122</v>
      </c>
      <c r="D138" s="26">
        <f>D137/D136</f>
        <v>7.2206230188620171E-2</v>
      </c>
      <c r="E138" s="520" t="s">
        <v>7</v>
      </c>
      <c r="F138" s="27"/>
      <c r="G138" s="24" t="s">
        <v>46</v>
      </c>
      <c r="H138" s="527"/>
      <c r="I138" s="527"/>
      <c r="J138" s="225"/>
      <c r="K138" s="224"/>
      <c r="L138" s="224"/>
      <c r="M138" s="527"/>
      <c r="N138" s="527"/>
      <c r="O138" s="18"/>
      <c r="P138" s="17"/>
    </row>
    <row r="139" spans="1:16" s="239" customFormat="1" ht="5.5" customHeight="1">
      <c r="A139" s="228"/>
      <c r="B139" s="240"/>
      <c r="C139" s="240"/>
      <c r="D139" s="240"/>
      <c r="E139" s="240"/>
      <c r="F139" s="240"/>
      <c r="G139" s="240"/>
      <c r="H139" s="240"/>
      <c r="I139" s="240"/>
      <c r="J139" s="242"/>
      <c r="K139" s="228"/>
      <c r="L139" s="224"/>
      <c r="M139" s="17"/>
    </row>
    <row r="140" spans="1:16" s="239" customFormat="1" ht="13" customHeight="1">
      <c r="A140" s="224"/>
      <c r="B140" s="233" t="s">
        <v>8</v>
      </c>
      <c r="C140" s="19"/>
      <c r="D140" s="19"/>
      <c r="E140" s="17"/>
      <c r="F140" s="17"/>
      <c r="G140" s="527"/>
      <c r="H140" s="527"/>
      <c r="I140" s="527"/>
      <c r="J140" s="225"/>
      <c r="K140" s="224"/>
      <c r="L140" s="224"/>
      <c r="M140" s="527"/>
      <c r="N140" s="527"/>
      <c r="O140" s="18"/>
      <c r="P140" s="17"/>
    </row>
    <row r="141" spans="1:16" s="239" customFormat="1" ht="13" customHeight="1">
      <c r="A141" s="224"/>
      <c r="B141" s="17"/>
      <c r="C141" s="527" t="s">
        <v>78</v>
      </c>
      <c r="D141" s="21">
        <f>INDEX(Tragwerk!B41:D41,1,MATCH(Eingabe!$C$4,Tragwerk!$B$14:$D$14))</f>
        <v>80.007519646593167</v>
      </c>
      <c r="E141" s="19" t="s">
        <v>2</v>
      </c>
      <c r="F141" s="17"/>
      <c r="G141" s="527" t="s">
        <v>1324</v>
      </c>
      <c r="H141" s="527"/>
      <c r="I141" s="527"/>
      <c r="J141" s="225"/>
      <c r="K141" s="224"/>
      <c r="L141" s="224"/>
      <c r="M141" s="527"/>
      <c r="N141" s="527"/>
      <c r="O141" s="18"/>
      <c r="P141" s="17"/>
    </row>
    <row r="142" spans="1:16" s="239" customFormat="1" ht="13" customHeight="1">
      <c r="A142" s="224"/>
      <c r="B142" s="17"/>
      <c r="C142" s="527" t="s">
        <v>79</v>
      </c>
      <c r="D142" s="19">
        <f>INDEX(Tragwerk!B42:D42,1,MATCH(Eingabe!$C$4,Tragwerk!$B$14:$D$14))</f>
        <v>176400</v>
      </c>
      <c r="E142" s="19" t="s">
        <v>16</v>
      </c>
      <c r="F142" s="17"/>
      <c r="G142" s="527" t="s">
        <v>1324</v>
      </c>
      <c r="H142" s="527"/>
      <c r="I142" s="527"/>
      <c r="J142" s="225"/>
      <c r="K142" s="224"/>
      <c r="L142" s="224"/>
      <c r="M142" s="527"/>
      <c r="N142" s="527"/>
      <c r="O142" s="18"/>
      <c r="P142" s="17"/>
    </row>
    <row r="143" spans="1:16" s="239" customFormat="1" ht="13" customHeight="1">
      <c r="A143" s="224"/>
      <c r="B143" s="17"/>
      <c r="C143" s="527" t="s">
        <v>80</v>
      </c>
      <c r="D143" s="19">
        <f>INDEX(Tragwerk!B43:D43,1,MATCH(Eingabe!$C$4,Tragwerk!$B$14:$D$14))</f>
        <v>142800</v>
      </c>
      <c r="E143" s="19" t="s">
        <v>16</v>
      </c>
      <c r="F143" s="17"/>
      <c r="G143" s="527" t="s">
        <v>1324</v>
      </c>
      <c r="H143" s="527"/>
      <c r="I143" s="527"/>
      <c r="J143" s="225"/>
      <c r="K143" s="224"/>
      <c r="L143" s="224"/>
      <c r="M143" s="527"/>
      <c r="N143" s="527"/>
      <c r="O143" s="18"/>
      <c r="P143" s="17"/>
    </row>
    <row r="144" spans="1:16" s="239" customFormat="1" ht="13" customHeight="1">
      <c r="A144" s="224"/>
      <c r="B144" s="17"/>
      <c r="C144" s="23" t="s">
        <v>81</v>
      </c>
      <c r="D144" s="21">
        <f>INDEX(Tragwerk!B44:D44,1,MATCH(Eingabe!$C$4,Tragwerk!$B$14:$D$14))</f>
        <v>1</v>
      </c>
      <c r="E144" s="19" t="s">
        <v>7</v>
      </c>
      <c r="F144" s="17"/>
      <c r="G144" s="527" t="s">
        <v>1324</v>
      </c>
      <c r="H144" s="527"/>
      <c r="I144" s="527"/>
      <c r="J144" s="225"/>
      <c r="K144" s="224"/>
      <c r="L144" s="224"/>
      <c r="M144" s="527"/>
      <c r="N144" s="527"/>
      <c r="O144" s="18"/>
      <c r="P144" s="17"/>
    </row>
    <row r="145" spans="1:16" s="239" customFormat="1" ht="13" customHeight="1">
      <c r="A145" s="224"/>
      <c r="B145" s="17"/>
      <c r="C145" s="23" t="s">
        <v>82</v>
      </c>
      <c r="D145" s="21">
        <f>INDEX(Tragwerk!B45:D45,1,MATCH(Eingabe!$C$4,Tragwerk!$B$14:$D$14))</f>
        <v>1</v>
      </c>
      <c r="E145" s="19" t="s">
        <v>7</v>
      </c>
      <c r="F145" s="17"/>
      <c r="G145" s="527" t="s">
        <v>1324</v>
      </c>
      <c r="H145" s="527"/>
      <c r="I145" s="527"/>
      <c r="J145" s="225"/>
      <c r="K145" s="224"/>
      <c r="L145" s="224"/>
      <c r="M145" s="527"/>
      <c r="N145" s="527"/>
      <c r="O145" s="18"/>
      <c r="P145" s="17"/>
    </row>
    <row r="146" spans="1:16" s="239" customFormat="1" ht="13" customHeight="1">
      <c r="A146" s="224"/>
      <c r="B146" s="17"/>
      <c r="C146" s="23" t="s">
        <v>83</v>
      </c>
      <c r="D146" s="21">
        <f>INDEX(Tragwerk!B46:D46,1,MATCH(Eingabe!$C$4,Tragwerk!$B$14:$D$14))</f>
        <v>1</v>
      </c>
      <c r="E146" s="19" t="s">
        <v>7</v>
      </c>
      <c r="F146" s="17"/>
      <c r="G146" s="527" t="s">
        <v>1324</v>
      </c>
      <c r="H146" s="527"/>
      <c r="I146" s="527"/>
      <c r="J146" s="225"/>
      <c r="K146" s="224"/>
      <c r="L146" s="224"/>
      <c r="M146" s="527"/>
      <c r="N146" s="527"/>
      <c r="O146" s="18"/>
      <c r="P146" s="17"/>
    </row>
    <row r="147" spans="1:16" s="239" customFormat="1" ht="13" customHeight="1">
      <c r="A147" s="224"/>
      <c r="B147" s="17"/>
      <c r="C147" s="527" t="s">
        <v>77</v>
      </c>
      <c r="D147" s="21">
        <f>INDEX(Tragwerk!B48:D48,1,MATCH(Eingabe!$C$4,Tragwerk!$B$14:$D$14))</f>
        <v>64.767992094861128</v>
      </c>
      <c r="E147" s="19" t="s">
        <v>2</v>
      </c>
      <c r="F147" s="17"/>
      <c r="G147" s="527" t="s">
        <v>1324</v>
      </c>
      <c r="H147" s="527"/>
      <c r="I147" s="527"/>
      <c r="J147" s="225"/>
      <c r="K147" s="224"/>
      <c r="L147" s="224"/>
      <c r="M147" s="526"/>
      <c r="N147" s="274"/>
      <c r="O147" s="18"/>
      <c r="P147" s="217"/>
    </row>
    <row r="148" spans="1:16" s="239" customFormat="1" ht="13" customHeight="1">
      <c r="A148" s="224"/>
      <c r="B148" s="17"/>
      <c r="C148" s="17" t="s">
        <v>12</v>
      </c>
      <c r="D148" s="21">
        <f>Tragwerk!$B$49</f>
        <v>1.2</v>
      </c>
      <c r="E148" s="19" t="s">
        <v>7</v>
      </c>
      <c r="F148" s="17"/>
      <c r="G148" s="527" t="s">
        <v>1324</v>
      </c>
      <c r="H148" s="527"/>
      <c r="I148" s="527"/>
      <c r="J148" s="225"/>
      <c r="K148" s="224"/>
      <c r="L148" s="224"/>
      <c r="M148" s="526"/>
      <c r="N148" s="274"/>
      <c r="O148" s="18"/>
      <c r="P148" s="217"/>
    </row>
    <row r="149" spans="1:16" s="239" customFormat="1" ht="13" customHeight="1">
      <c r="A149" s="224"/>
      <c r="B149" s="17"/>
      <c r="C149" s="527" t="s">
        <v>71</v>
      </c>
      <c r="D149" s="21">
        <f>INDEX(Tragwerk!B50:D50,1,MATCH(Eingabe!$C$4,Tragwerk!$B$14:$D$14))</f>
        <v>53.973326745717607</v>
      </c>
      <c r="E149" s="19" t="s">
        <v>2</v>
      </c>
      <c r="F149" s="17"/>
      <c r="G149" s="527" t="s">
        <v>73</v>
      </c>
      <c r="H149" s="527"/>
      <c r="I149" s="527"/>
      <c r="J149" s="225"/>
      <c r="K149" s="224"/>
      <c r="L149" s="224"/>
      <c r="M149" s="526"/>
      <c r="N149" s="274"/>
      <c r="O149" s="18"/>
      <c r="P149" s="217"/>
    </row>
    <row r="150" spans="1:16" s="239" customFormat="1" ht="13" customHeight="1">
      <c r="A150" s="224"/>
      <c r="B150" s="17"/>
      <c r="C150" s="527" t="s">
        <v>302</v>
      </c>
      <c r="D150" s="21">
        <f>Tragwerk!$B$60</f>
        <v>4.2779482683033754</v>
      </c>
      <c r="E150" s="19" t="s">
        <v>2</v>
      </c>
      <c r="F150" s="17"/>
      <c r="G150" s="527" t="s">
        <v>75</v>
      </c>
      <c r="H150" s="527"/>
      <c r="I150" s="527"/>
      <c r="J150" s="225"/>
      <c r="K150" s="224"/>
      <c r="L150" s="224"/>
      <c r="M150" s="526"/>
      <c r="N150" s="274"/>
      <c r="O150" s="18"/>
      <c r="P150" s="217"/>
    </row>
    <row r="151" spans="1:16" s="239" customFormat="1" ht="13" customHeight="1">
      <c r="A151" s="224"/>
      <c r="B151" s="17"/>
      <c r="C151" s="25" t="s">
        <v>89</v>
      </c>
      <c r="D151" s="26">
        <f>D150/D149</f>
        <v>7.9260414842648175E-2</v>
      </c>
      <c r="E151" s="520" t="s">
        <v>7</v>
      </c>
      <c r="F151" s="27"/>
      <c r="G151" s="24" t="s">
        <v>46</v>
      </c>
      <c r="H151" s="527"/>
      <c r="I151" s="527"/>
      <c r="J151" s="225"/>
      <c r="K151" s="224"/>
      <c r="L151" s="224"/>
      <c r="M151" s="527"/>
      <c r="N151" s="527"/>
      <c r="O151" s="18"/>
      <c r="P151" s="17"/>
    </row>
    <row r="152" spans="1:16" s="239" customFormat="1" ht="5.5" customHeight="1">
      <c r="A152" s="224"/>
      <c r="B152" s="17"/>
      <c r="C152" s="25"/>
      <c r="D152" s="26"/>
      <c r="E152" s="520"/>
      <c r="F152" s="27"/>
      <c r="G152" s="24"/>
      <c r="H152" s="527"/>
      <c r="I152" s="527"/>
      <c r="J152" s="225"/>
      <c r="K152" s="224"/>
      <c r="L152" s="224"/>
      <c r="M152" s="527"/>
      <c r="N152" s="527"/>
      <c r="O152" s="18"/>
      <c r="P152" s="17"/>
    </row>
    <row r="153" spans="1:16" s="239" customFormat="1" ht="13" customHeight="1">
      <c r="A153" s="1032" t="s">
        <v>513</v>
      </c>
      <c r="B153" s="1032"/>
      <c r="C153" s="1032"/>
      <c r="D153" s="1032"/>
      <c r="E153" s="1032"/>
      <c r="F153" s="1032"/>
      <c r="G153" s="1032"/>
      <c r="H153" s="1032"/>
      <c r="I153" s="1032"/>
      <c r="J153" s="1032"/>
      <c r="K153" s="520"/>
      <c r="L153" s="224"/>
      <c r="M153" s="527"/>
      <c r="N153" s="527"/>
      <c r="O153" s="18"/>
      <c r="P153" s="17"/>
    </row>
    <row r="154" spans="1:16" s="239" customFormat="1" ht="13" customHeight="1">
      <c r="A154" s="224"/>
      <c r="B154" s="235" t="s">
        <v>120</v>
      </c>
      <c r="C154" s="25"/>
      <c r="D154" s="26"/>
      <c r="E154" s="520"/>
      <c r="F154" s="27"/>
      <c r="G154" s="24"/>
      <c r="H154" s="527"/>
      <c r="I154" s="527"/>
      <c r="J154" s="225"/>
      <c r="K154" s="224"/>
      <c r="L154" s="224"/>
      <c r="M154" s="527"/>
      <c r="N154" s="527"/>
      <c r="O154" s="18"/>
      <c r="P154" s="17"/>
    </row>
    <row r="155" spans="1:16" s="239" customFormat="1" ht="13" customHeight="1">
      <c r="A155" s="224"/>
      <c r="B155" s="17"/>
      <c r="C155" s="527" t="s">
        <v>118</v>
      </c>
      <c r="D155" s="18">
        <f>INDEX(Tragwerk!B65:D65,1,MATCH(Eingabe!$C$4,Tragwerk!$B$14:$D$14))</f>
        <v>760.54326346673008</v>
      </c>
      <c r="E155" s="19" t="s">
        <v>119</v>
      </c>
      <c r="F155" s="17"/>
      <c r="G155" s="527" t="s">
        <v>362</v>
      </c>
      <c r="H155" s="527"/>
      <c r="I155" s="527"/>
      <c r="J155" s="225"/>
      <c r="K155" s="224"/>
      <c r="L155" s="224"/>
      <c r="M155" s="527"/>
      <c r="N155" s="527"/>
      <c r="O155" s="18"/>
      <c r="P155" s="17"/>
    </row>
    <row r="156" spans="1:16" s="239" customFormat="1" ht="13" customHeight="1">
      <c r="A156" s="224"/>
      <c r="B156" s="17"/>
      <c r="C156" s="17" t="s">
        <v>3</v>
      </c>
      <c r="D156" s="21">
        <f>Tragwerk!$B$66</f>
        <v>1.56</v>
      </c>
      <c r="E156" s="19" t="s">
        <v>7</v>
      </c>
      <c r="F156" s="17"/>
      <c r="G156" s="527" t="s">
        <v>359</v>
      </c>
      <c r="H156" s="527"/>
      <c r="I156" s="527"/>
      <c r="J156" s="225"/>
      <c r="K156" s="224"/>
      <c r="L156" s="224"/>
      <c r="M156" s="527"/>
      <c r="N156" s="527"/>
      <c r="O156" s="18"/>
      <c r="P156" s="17"/>
    </row>
    <row r="157" spans="1:16" s="239" customFormat="1" ht="13" customHeight="1">
      <c r="A157" s="224"/>
      <c r="B157" s="17"/>
      <c r="C157" s="527" t="s">
        <v>65</v>
      </c>
      <c r="D157" s="21">
        <f>INDEX(Tragwerk!B67:D67,1,MATCH(Eingabe!$C$4,Tragwerk!$B$14:$D$14))</f>
        <v>30.470483311968351</v>
      </c>
      <c r="E157" s="19" t="s">
        <v>2</v>
      </c>
      <c r="F157" s="17"/>
      <c r="G157" s="527" t="s">
        <v>73</v>
      </c>
      <c r="H157" s="527"/>
      <c r="I157" s="527"/>
      <c r="J157" s="225"/>
      <c r="K157" s="224"/>
      <c r="L157" s="224"/>
      <c r="M157" s="527"/>
      <c r="N157" s="527"/>
      <c r="O157" s="18"/>
      <c r="P157" s="17"/>
    </row>
    <row r="158" spans="1:16" s="239" customFormat="1" ht="13" customHeight="1">
      <c r="A158" s="224"/>
      <c r="B158" s="17"/>
      <c r="C158" s="527" t="s">
        <v>303</v>
      </c>
      <c r="D158" s="21">
        <f>Tragwerk!$B$68</f>
        <v>27.194109375</v>
      </c>
      <c r="E158" s="19" t="s">
        <v>2</v>
      </c>
      <c r="F158" s="17"/>
      <c r="G158" s="527" t="s">
        <v>75</v>
      </c>
      <c r="H158" s="527"/>
      <c r="I158" s="527"/>
      <c r="J158" s="225"/>
      <c r="K158" s="224"/>
      <c r="L158" s="224"/>
      <c r="M158" s="527"/>
      <c r="N158" s="527"/>
      <c r="O158" s="18"/>
      <c r="P158" s="17"/>
    </row>
    <row r="159" spans="1:16" s="239" customFormat="1" ht="13" customHeight="1">
      <c r="A159" s="224"/>
      <c r="B159" s="17"/>
      <c r="C159" s="25" t="s">
        <v>90</v>
      </c>
      <c r="D159" s="26">
        <f>D158/D157</f>
        <v>0.8924738441650697</v>
      </c>
      <c r="E159" s="520" t="s">
        <v>7</v>
      </c>
      <c r="F159" s="27"/>
      <c r="G159" s="24" t="s">
        <v>46</v>
      </c>
      <c r="H159" s="527"/>
      <c r="I159" s="527"/>
      <c r="J159" s="225"/>
      <c r="K159" s="224"/>
      <c r="L159" s="224"/>
      <c r="M159" s="527"/>
      <c r="N159" s="527"/>
      <c r="O159" s="18"/>
      <c r="P159" s="17"/>
    </row>
    <row r="160" spans="1:16" s="239" customFormat="1" ht="5.5" customHeight="1">
      <c r="A160" s="224"/>
      <c r="B160" s="17"/>
      <c r="C160" s="25"/>
      <c r="D160" s="26"/>
      <c r="E160" s="520"/>
      <c r="F160" s="27"/>
      <c r="G160" s="24"/>
      <c r="H160" s="527"/>
      <c r="I160" s="527"/>
      <c r="J160" s="225"/>
      <c r="K160" s="224"/>
      <c r="L160" s="224"/>
      <c r="M160" s="527"/>
      <c r="N160" s="527"/>
      <c r="O160" s="18"/>
      <c r="P160" s="17"/>
    </row>
    <row r="161" spans="1:16" s="239" customFormat="1" ht="13" customHeight="1">
      <c r="A161" s="224"/>
      <c r="B161" s="238" t="s">
        <v>9</v>
      </c>
      <c r="C161" s="25"/>
      <c r="D161" s="26"/>
      <c r="E161" s="520"/>
      <c r="F161" s="27"/>
      <c r="G161" s="24"/>
      <c r="H161" s="527"/>
      <c r="I161" s="527"/>
      <c r="J161" s="225"/>
      <c r="K161" s="224"/>
      <c r="L161" s="224"/>
      <c r="M161" s="527"/>
      <c r="N161" s="527"/>
      <c r="O161" s="18"/>
      <c r="P161" s="17"/>
    </row>
    <row r="162" spans="1:16" s="239" customFormat="1" ht="13" customHeight="1">
      <c r="A162" s="224"/>
      <c r="B162" s="17"/>
      <c r="C162" s="4" t="s">
        <v>10</v>
      </c>
      <c r="D162" s="18">
        <f>Tragwerk!$B$71</f>
        <v>2.5</v>
      </c>
      <c r="E162" s="19" t="s">
        <v>7</v>
      </c>
      <c r="F162" s="17"/>
      <c r="G162" s="17" t="s">
        <v>363</v>
      </c>
      <c r="H162" s="527"/>
      <c r="I162" s="527"/>
      <c r="J162" s="225"/>
      <c r="K162" s="224"/>
      <c r="L162" s="224"/>
      <c r="M162" s="527"/>
      <c r="N162" s="527"/>
      <c r="O162" s="18"/>
      <c r="P162" s="17"/>
    </row>
    <row r="163" spans="1:16" s="239" customFormat="1" ht="13" customHeight="1">
      <c r="A163" s="224"/>
      <c r="B163" s="17"/>
      <c r="C163" s="527" t="s">
        <v>18</v>
      </c>
      <c r="D163" s="18">
        <f>INDEX(Tragwerk!B72:D72,1,MATCH(Eingabe!$C$4,Tragwerk!$B$14:$D$14))</f>
        <v>161.91998023715283</v>
      </c>
      <c r="E163" s="237" t="s">
        <v>2</v>
      </c>
      <c r="F163" s="17"/>
      <c r="G163" s="17" t="s">
        <v>1324</v>
      </c>
      <c r="H163" s="527"/>
      <c r="I163" s="527"/>
      <c r="J163" s="225"/>
      <c r="K163" s="224"/>
      <c r="L163" s="224"/>
      <c r="M163" s="527"/>
      <c r="N163" s="527"/>
      <c r="O163" s="18"/>
      <c r="P163" s="17"/>
    </row>
    <row r="164" spans="1:16" s="239" customFormat="1" ht="13" customHeight="1">
      <c r="A164" s="224"/>
      <c r="B164" s="17"/>
      <c r="C164" s="17" t="s">
        <v>12</v>
      </c>
      <c r="D164" s="21">
        <f>Tragwerk!$B$73</f>
        <v>1.2</v>
      </c>
      <c r="E164" s="19" t="s">
        <v>7</v>
      </c>
      <c r="F164" s="17"/>
      <c r="G164" s="527" t="s">
        <v>1324</v>
      </c>
      <c r="H164" s="527"/>
      <c r="I164" s="527"/>
      <c r="J164" s="225"/>
      <c r="K164" s="224"/>
      <c r="L164" s="224"/>
      <c r="M164" s="527"/>
      <c r="N164" s="527"/>
      <c r="O164" s="18"/>
      <c r="P164" s="17"/>
    </row>
    <row r="165" spans="1:16" s="239" customFormat="1" ht="13" customHeight="1">
      <c r="A165" s="224"/>
      <c r="B165" s="17"/>
      <c r="C165" s="17" t="s">
        <v>72</v>
      </c>
      <c r="D165" s="18">
        <f>INDEX(Tragwerk!B74:D74,1,MATCH(Eingabe!$C$4,Tragwerk!$B$14:$D$14))</f>
        <v>134.93331686429403</v>
      </c>
      <c r="E165" s="19" t="s">
        <v>2</v>
      </c>
      <c r="F165" s="17"/>
      <c r="G165" s="527" t="s">
        <v>73</v>
      </c>
      <c r="H165" s="527"/>
      <c r="I165" s="527"/>
      <c r="J165" s="225"/>
      <c r="K165" s="224"/>
      <c r="L165" s="224"/>
      <c r="M165" s="527"/>
      <c r="N165" s="527"/>
      <c r="O165" s="18"/>
      <c r="P165" s="17"/>
    </row>
    <row r="166" spans="1:16" s="239" customFormat="1" ht="13" customHeight="1">
      <c r="A166" s="224"/>
      <c r="B166" s="17"/>
      <c r="C166" s="527" t="s">
        <v>303</v>
      </c>
      <c r="D166" s="18">
        <f>Tragwerk!$B$91</f>
        <v>54.38821875</v>
      </c>
      <c r="E166" s="19" t="s">
        <v>2</v>
      </c>
      <c r="F166" s="17"/>
      <c r="G166" s="527" t="s">
        <v>75</v>
      </c>
      <c r="H166" s="527"/>
      <c r="I166" s="527"/>
      <c r="J166" s="225"/>
      <c r="K166" s="224"/>
      <c r="L166" s="224"/>
      <c r="M166" s="527"/>
      <c r="N166" s="527"/>
      <c r="O166" s="18"/>
      <c r="P166" s="17"/>
    </row>
    <row r="167" spans="1:16" s="239" customFormat="1" ht="13" customHeight="1">
      <c r="A167" s="224"/>
      <c r="B167" s="17"/>
      <c r="C167" s="25" t="s">
        <v>91</v>
      </c>
      <c r="D167" s="26">
        <f>D166/D165</f>
        <v>0.40307479289714382</v>
      </c>
      <c r="E167" s="520" t="s">
        <v>7</v>
      </c>
      <c r="F167" s="27"/>
      <c r="G167" s="24" t="s">
        <v>46</v>
      </c>
      <c r="H167" s="527"/>
      <c r="I167" s="527"/>
      <c r="J167" s="225"/>
      <c r="K167" s="224"/>
      <c r="L167" s="224"/>
      <c r="M167" s="527"/>
      <c r="N167" s="527"/>
      <c r="O167" s="18"/>
      <c r="P167" s="17"/>
    </row>
    <row r="168" spans="1:16" s="239" customFormat="1" ht="5.5" customHeight="1">
      <c r="A168" s="224"/>
      <c r="B168" s="17"/>
      <c r="C168" s="25"/>
      <c r="D168" s="26"/>
      <c r="E168" s="520"/>
      <c r="F168" s="27"/>
      <c r="G168" s="24"/>
      <c r="H168" s="527"/>
      <c r="I168" s="527"/>
      <c r="J168" s="225"/>
      <c r="K168" s="224"/>
      <c r="L168" s="224"/>
      <c r="M168" s="527"/>
      <c r="N168" s="527"/>
      <c r="O168" s="18"/>
      <c r="P168" s="17"/>
    </row>
    <row r="169" spans="1:16" s="239" customFormat="1" ht="13" customHeight="1">
      <c r="A169" s="224"/>
      <c r="B169" s="238" t="s">
        <v>11</v>
      </c>
      <c r="C169" s="25"/>
      <c r="D169" s="26"/>
      <c r="E169" s="520"/>
      <c r="F169" s="27"/>
      <c r="G169" s="24"/>
      <c r="H169" s="527"/>
      <c r="I169" s="527"/>
      <c r="J169" s="225"/>
      <c r="K169" s="224"/>
      <c r="L169" s="224"/>
      <c r="M169" s="527"/>
      <c r="N169" s="527"/>
      <c r="O169" s="18"/>
      <c r="P169" s="17"/>
    </row>
    <row r="170" spans="1:16" s="239" customFormat="1" ht="13" customHeight="1">
      <c r="A170" s="224"/>
      <c r="B170" s="17"/>
      <c r="C170" s="234" t="s">
        <v>21</v>
      </c>
      <c r="D170" s="450">
        <f>INDEX(Tragwerk!B76:D76,1,MATCH(Eingabe!$C$4,Tragwerk!$B$14:$D$14))</f>
        <v>3.4156502553198659E-2</v>
      </c>
      <c r="E170" s="19" t="s">
        <v>7</v>
      </c>
      <c r="F170" s="27"/>
      <c r="G170" s="527" t="s">
        <v>1324</v>
      </c>
      <c r="H170" s="527"/>
      <c r="I170" s="527"/>
      <c r="J170" s="225"/>
      <c r="K170" s="224"/>
      <c r="L170" s="224"/>
      <c r="M170" s="527"/>
      <c r="N170" s="527"/>
      <c r="O170" s="18"/>
      <c r="P170" s="17"/>
    </row>
    <row r="171" spans="1:16" s="239" customFormat="1" ht="13" customHeight="1">
      <c r="A171" s="224"/>
      <c r="B171" s="17"/>
      <c r="C171" s="234" t="s">
        <v>134</v>
      </c>
      <c r="D171" s="450">
        <f>INDEX(Tragwerk!B77:D77,1,MATCH(Eingabe!$C$4,Tragwerk!$B$14:$D$14))</f>
        <v>4.573050519273264E-2</v>
      </c>
      <c r="E171" s="19" t="s">
        <v>7</v>
      </c>
      <c r="F171" s="27"/>
      <c r="G171" s="527" t="s">
        <v>1324</v>
      </c>
      <c r="H171" s="527"/>
      <c r="I171" s="527"/>
      <c r="J171" s="225"/>
      <c r="K171" s="224"/>
      <c r="L171" s="224"/>
      <c r="M171" s="527"/>
      <c r="N171" s="527"/>
      <c r="O171" s="18"/>
      <c r="P171" s="17"/>
    </row>
    <row r="172" spans="1:16" s="239" customFormat="1" ht="13" customHeight="1">
      <c r="A172" s="224"/>
      <c r="B172" s="17"/>
      <c r="C172" s="234" t="s">
        <v>481</v>
      </c>
      <c r="D172" s="18">
        <f>INDEX(Tragwerk!B78:D78,1,MATCH(Eingabe!$C$4,Tragwerk!$B$14:$D$14))</f>
        <v>662.3899818033774</v>
      </c>
      <c r="E172" s="19" t="s">
        <v>2</v>
      </c>
      <c r="F172" s="27"/>
      <c r="G172" s="527" t="s">
        <v>1324</v>
      </c>
      <c r="H172" s="527"/>
      <c r="I172" s="527"/>
      <c r="J172" s="225"/>
      <c r="K172" s="224"/>
      <c r="L172" s="224"/>
      <c r="M172" s="527"/>
      <c r="N172" s="527"/>
      <c r="O172" s="18"/>
      <c r="P172" s="17"/>
    </row>
    <row r="173" spans="1:16" s="239" customFormat="1" ht="13" customHeight="1">
      <c r="A173" s="224"/>
      <c r="B173" s="17"/>
      <c r="C173" s="234" t="s">
        <v>482</v>
      </c>
      <c r="D173" s="20">
        <f>INDEX(Tragwerk!B79:D79,1,MATCH(Eingabe!$C$4,Tragwerk!$B$14:$D$14))</f>
        <v>6480000</v>
      </c>
      <c r="E173" s="19" t="s">
        <v>16</v>
      </c>
      <c r="F173" s="27"/>
      <c r="G173" s="527" t="s">
        <v>1324</v>
      </c>
      <c r="H173" s="527"/>
      <c r="I173" s="527"/>
      <c r="J173" s="225"/>
      <c r="K173" s="224"/>
      <c r="L173" s="224"/>
      <c r="M173" s="527"/>
      <c r="N173" s="527"/>
      <c r="O173" s="18"/>
      <c r="P173" s="17"/>
    </row>
    <row r="174" spans="1:16" s="239" customFormat="1" ht="13" customHeight="1">
      <c r="A174" s="224"/>
      <c r="B174" s="17"/>
      <c r="C174" s="234" t="s">
        <v>483</v>
      </c>
      <c r="D174" s="20">
        <f>INDEX(Tragwerk!B80:D80,1,MATCH(Eingabe!$C$4,Tragwerk!$B$14:$D$14))</f>
        <v>720000</v>
      </c>
      <c r="E174" s="19" t="s">
        <v>16</v>
      </c>
      <c r="F174" s="27"/>
      <c r="G174" s="527" t="s">
        <v>1324</v>
      </c>
      <c r="H174" s="527"/>
      <c r="I174" s="527"/>
      <c r="J174" s="225"/>
      <c r="K174" s="224"/>
      <c r="L174" s="224"/>
      <c r="M174" s="527"/>
      <c r="N174" s="527"/>
      <c r="O174" s="18"/>
      <c r="P174" s="17"/>
    </row>
    <row r="175" spans="1:16" s="239" customFormat="1" ht="13" customHeight="1">
      <c r="A175" s="224"/>
      <c r="B175" s="17"/>
      <c r="C175" s="234" t="s">
        <v>485</v>
      </c>
      <c r="D175" s="21">
        <f>INDEX(Tragwerk!B82:D82,1,MATCH(Eingabe!$C$4,Tragwerk!$B$14:$D$14))</f>
        <v>3</v>
      </c>
      <c r="E175" s="19" t="s">
        <v>7</v>
      </c>
      <c r="F175" s="27"/>
      <c r="G175" s="527" t="s">
        <v>1324</v>
      </c>
      <c r="H175" s="527"/>
      <c r="I175" s="527"/>
      <c r="J175" s="225"/>
      <c r="K175" s="224"/>
      <c r="L175" s="224"/>
      <c r="M175" s="527"/>
      <c r="N175" s="527"/>
      <c r="O175" s="18"/>
      <c r="P175" s="17"/>
    </row>
    <row r="176" spans="1:16" s="239" customFormat="1" ht="13" customHeight="1">
      <c r="A176" s="224"/>
      <c r="B176" s="17"/>
      <c r="C176" s="234" t="s">
        <v>488</v>
      </c>
      <c r="D176" s="21">
        <f>Tragwerk!B85</f>
        <v>1.2</v>
      </c>
      <c r="E176" s="19" t="s">
        <v>7</v>
      </c>
      <c r="F176" s="27"/>
      <c r="G176" s="527" t="s">
        <v>1324</v>
      </c>
      <c r="H176" s="527"/>
      <c r="I176" s="527"/>
      <c r="J176" s="225"/>
      <c r="K176" s="224"/>
      <c r="L176" s="224"/>
      <c r="M176" s="527"/>
      <c r="N176" s="527"/>
      <c r="O176" s="18"/>
      <c r="P176" s="17"/>
    </row>
    <row r="177" spans="1:16" s="239" customFormat="1" ht="13" customHeight="1">
      <c r="A177" s="224"/>
      <c r="B177" s="17"/>
      <c r="C177" s="234" t="s">
        <v>489</v>
      </c>
      <c r="D177" s="21">
        <f>INDEX(Tragwerk!B86:D86,1,MATCH(Eingabe!$C$4,Tragwerk!$B$14:$D$14))</f>
        <v>264.95599272135092</v>
      </c>
      <c r="E177" s="19" t="s">
        <v>2</v>
      </c>
      <c r="F177" s="27"/>
      <c r="G177" s="527" t="s">
        <v>1324</v>
      </c>
      <c r="H177" s="527"/>
      <c r="I177" s="527"/>
      <c r="J177" s="225"/>
      <c r="K177" s="224"/>
      <c r="L177" s="224"/>
      <c r="M177" s="527"/>
      <c r="N177" s="527"/>
      <c r="O177" s="18"/>
      <c r="P177" s="17"/>
    </row>
    <row r="178" spans="1:16" s="239" customFormat="1" ht="13" customHeight="1">
      <c r="A178" s="224"/>
      <c r="B178" s="17"/>
      <c r="C178" s="234" t="s">
        <v>12</v>
      </c>
      <c r="D178" s="21">
        <f>Tragwerk!B87</f>
        <v>1.2</v>
      </c>
      <c r="E178" s="19" t="s">
        <v>7</v>
      </c>
      <c r="F178" s="27"/>
      <c r="G178" s="527" t="s">
        <v>1324</v>
      </c>
      <c r="H178" s="527"/>
      <c r="I178" s="527"/>
      <c r="J178" s="225"/>
      <c r="K178" s="224"/>
      <c r="L178" s="224"/>
      <c r="M178" s="527"/>
      <c r="N178" s="527"/>
      <c r="O178" s="18"/>
      <c r="P178" s="17"/>
    </row>
    <row r="179" spans="1:16" s="239" customFormat="1" ht="13" customHeight="1">
      <c r="A179" s="224"/>
      <c r="B179" s="17"/>
      <c r="C179" s="234" t="s">
        <v>507</v>
      </c>
      <c r="D179" s="21">
        <f>INDEX(Tragwerk!B88:D88,1,MATCH(Eingabe!$C$4,Tragwerk!$B$14:$D$14))</f>
        <v>220.79666060112578</v>
      </c>
      <c r="E179" s="19" t="s">
        <v>2</v>
      </c>
      <c r="F179" s="27"/>
      <c r="G179" s="527" t="s">
        <v>73</v>
      </c>
      <c r="H179" s="527"/>
      <c r="I179" s="527"/>
      <c r="J179" s="225"/>
      <c r="K179" s="224"/>
      <c r="L179" s="224"/>
      <c r="M179" s="527"/>
      <c r="N179" s="527"/>
      <c r="O179" s="18"/>
      <c r="P179" s="17"/>
    </row>
    <row r="180" spans="1:16" s="239" customFormat="1" ht="13" customHeight="1">
      <c r="A180" s="224"/>
      <c r="B180" s="17"/>
      <c r="C180" s="527" t="s">
        <v>303</v>
      </c>
      <c r="D180" s="21">
        <f>Tragwerk!B91</f>
        <v>54.38821875</v>
      </c>
      <c r="E180" s="19" t="s">
        <v>2</v>
      </c>
      <c r="F180" s="27"/>
      <c r="G180" s="527" t="s">
        <v>75</v>
      </c>
      <c r="H180" s="527"/>
      <c r="I180" s="527"/>
      <c r="J180" s="225"/>
      <c r="K180" s="224"/>
      <c r="L180" s="224"/>
      <c r="M180" s="527"/>
      <c r="N180" s="527"/>
      <c r="O180" s="18"/>
      <c r="P180" s="17"/>
    </row>
    <row r="181" spans="1:16" s="239" customFormat="1" ht="13" customHeight="1">
      <c r="A181" s="224"/>
      <c r="B181" s="17"/>
      <c r="C181" s="25" t="s">
        <v>508</v>
      </c>
      <c r="D181" s="26">
        <f>D180/D179</f>
        <v>0.24632717995791414</v>
      </c>
      <c r="E181" s="520" t="s">
        <v>7</v>
      </c>
      <c r="F181" s="27"/>
      <c r="G181" s="24" t="s">
        <v>46</v>
      </c>
      <c r="H181" s="527"/>
      <c r="I181" s="527"/>
      <c r="J181" s="225"/>
      <c r="K181" s="224"/>
      <c r="L181" s="224"/>
      <c r="M181" s="527"/>
      <c r="N181" s="527"/>
      <c r="O181" s="18"/>
      <c r="P181" s="17"/>
    </row>
    <row r="182" spans="1:16" s="239" customFormat="1" ht="5.5" customHeight="1">
      <c r="A182" s="17"/>
      <c r="B182" s="17"/>
      <c r="C182" s="23"/>
      <c r="D182" s="18"/>
      <c r="E182" s="19"/>
      <c r="F182" s="17"/>
      <c r="G182" s="527"/>
      <c r="H182" s="20"/>
      <c r="I182" s="17"/>
      <c r="J182" s="17"/>
      <c r="K182" s="17"/>
      <c r="L182" s="224"/>
      <c r="M182" s="17"/>
    </row>
    <row r="183" spans="1:16" s="239" customFormat="1" ht="13" customHeight="1">
      <c r="A183" s="1032" t="s">
        <v>517</v>
      </c>
      <c r="B183" s="1032"/>
      <c r="C183" s="1032"/>
      <c r="D183" s="1032"/>
      <c r="E183" s="1032"/>
      <c r="F183" s="1032"/>
      <c r="G183" s="1032"/>
      <c r="H183" s="1032"/>
      <c r="I183" s="1032"/>
      <c r="J183" s="1032"/>
      <c r="K183" s="520"/>
      <c r="L183" s="224"/>
      <c r="M183" s="17"/>
    </row>
    <row r="184" spans="1:16" s="239" customFormat="1" ht="5.5" customHeight="1">
      <c r="A184" s="17"/>
      <c r="B184" s="17"/>
      <c r="C184" s="23"/>
      <c r="D184" s="18"/>
      <c r="E184" s="19"/>
      <c r="F184" s="17"/>
      <c r="G184" s="527"/>
      <c r="H184" s="20"/>
      <c r="I184" s="17"/>
      <c r="J184" s="17"/>
      <c r="K184" s="17"/>
      <c r="L184" s="224"/>
      <c r="M184" s="17"/>
    </row>
    <row r="185" spans="1:16" s="239" customFormat="1" ht="13" customHeight="1">
      <c r="A185" s="224"/>
      <c r="B185" s="17"/>
      <c r="C185" s="23" t="s">
        <v>85</v>
      </c>
      <c r="D185" s="21">
        <f>INDEX(Tragwerk!B96:D96,1,MATCH(Eingabe!$C$4,Tragwerk!$B$14:$D$14))</f>
        <v>7.9260414842648175E-2</v>
      </c>
      <c r="E185" s="19" t="s">
        <v>7</v>
      </c>
      <c r="F185" s="17"/>
      <c r="G185" s="527" t="s">
        <v>515</v>
      </c>
      <c r="H185" s="71"/>
      <c r="I185" s="463"/>
      <c r="J185" s="17"/>
      <c r="K185" s="224"/>
      <c r="L185" s="224"/>
      <c r="M185" s="17"/>
    </row>
    <row r="186" spans="1:16" s="239" customFormat="1" ht="13" customHeight="1">
      <c r="A186" s="224"/>
      <c r="B186" s="17"/>
      <c r="C186" s="23" t="s">
        <v>87</v>
      </c>
      <c r="D186" s="21">
        <f>INDEX(Tragwerk!B97:D97,1,MATCH(Eingabe!$C$4,Tragwerk!$B$14:$D$14))</f>
        <v>0.8924738441650697</v>
      </c>
      <c r="E186" s="19" t="s">
        <v>7</v>
      </c>
      <c r="F186" s="17"/>
      <c r="G186" s="527" t="s">
        <v>519</v>
      </c>
      <c r="H186" s="71"/>
      <c r="I186" s="463"/>
      <c r="J186" s="17"/>
      <c r="K186" s="224"/>
      <c r="L186" s="224"/>
      <c r="M186" s="17"/>
    </row>
    <row r="187" spans="1:16" s="239" customFormat="1" ht="2.2999999999999998" customHeight="1">
      <c r="A187" s="224"/>
      <c r="B187" s="17"/>
      <c r="C187" s="23"/>
      <c r="D187" s="18"/>
      <c r="E187" s="19"/>
      <c r="F187" s="17"/>
      <c r="G187" s="17"/>
      <c r="H187" s="71"/>
      <c r="I187" s="463"/>
      <c r="J187" s="17"/>
      <c r="K187" s="224"/>
      <c r="L187" s="224"/>
      <c r="M187" s="17"/>
    </row>
    <row r="188" spans="1:16" s="239" customFormat="1" ht="13" customHeight="1">
      <c r="A188" s="224"/>
      <c r="B188" s="17"/>
      <c r="C188" s="25" t="s">
        <v>548</v>
      </c>
      <c r="D188" s="26">
        <f>INDEX(Tragwerk!B99:D99,1,MATCH(Eingabe!$C$4,Tragwerk!$B$14:$D$14))</f>
        <v>0.80977854917309822</v>
      </c>
      <c r="E188" s="520" t="s">
        <v>7</v>
      </c>
      <c r="F188" s="27"/>
      <c r="G188" s="27" t="s">
        <v>1324</v>
      </c>
      <c r="H188" s="71"/>
      <c r="I188" s="463"/>
      <c r="J188" s="17"/>
      <c r="K188" s="224"/>
      <c r="L188" s="224"/>
      <c r="M188" s="17"/>
    </row>
    <row r="189" spans="1:16" s="239" customFormat="1" ht="5.5" customHeight="1">
      <c r="A189" s="224"/>
      <c r="B189" s="224"/>
      <c r="C189" s="231"/>
      <c r="D189" s="229"/>
      <c r="E189" s="227"/>
      <c r="F189" s="224"/>
      <c r="G189" s="225"/>
      <c r="H189" s="230"/>
      <c r="I189" s="224"/>
      <c r="J189" s="224"/>
      <c r="K189" s="224"/>
      <c r="L189" s="224"/>
      <c r="M189" s="17"/>
    </row>
    <row r="190" spans="1:16" s="239" customFormat="1" ht="14.15" customHeight="1">
      <c r="A190" s="1033" t="s">
        <v>308</v>
      </c>
      <c r="B190" s="1033"/>
      <c r="C190" s="1033"/>
      <c r="D190" s="1033"/>
      <c r="E190" s="1033"/>
      <c r="F190" s="1033"/>
      <c r="G190" s="1033"/>
      <c r="H190" s="1033"/>
      <c r="I190" s="1033"/>
      <c r="J190" s="1033"/>
      <c r="K190" s="502"/>
      <c r="L190" s="224"/>
      <c r="M190" s="17"/>
    </row>
    <row r="191" spans="1:16" s="239" customFormat="1" ht="5.5" customHeight="1">
      <c r="A191" s="228"/>
      <c r="B191" s="242"/>
      <c r="C191" s="242"/>
      <c r="D191" s="242"/>
      <c r="E191" s="242"/>
      <c r="F191" s="242"/>
      <c r="G191" s="242"/>
      <c r="H191" s="242"/>
      <c r="I191" s="242"/>
      <c r="J191" s="242"/>
      <c r="K191" s="228"/>
      <c r="L191" s="224"/>
      <c r="M191" s="17"/>
    </row>
    <row r="192" spans="1:16" s="239" customFormat="1" ht="13" customHeight="1">
      <c r="A192" s="1032" t="s">
        <v>514</v>
      </c>
      <c r="B192" s="1032"/>
      <c r="C192" s="1032"/>
      <c r="D192" s="1032"/>
      <c r="E192" s="1032"/>
      <c r="F192" s="1032"/>
      <c r="G192" s="1032"/>
      <c r="H192" s="1032"/>
      <c r="I192" s="1032"/>
      <c r="J192" s="1032"/>
      <c r="K192" s="520"/>
      <c r="L192" s="224"/>
      <c r="M192" s="17"/>
    </row>
    <row r="193" spans="1:13" s="239" customFormat="1" ht="13" customHeight="1">
      <c r="A193" s="17"/>
      <c r="B193" s="14" t="s">
        <v>1</v>
      </c>
      <c r="C193" s="232"/>
      <c r="D193" s="232"/>
      <c r="E193" s="232"/>
      <c r="F193" s="17"/>
      <c r="G193" s="527"/>
      <c r="H193" s="527"/>
      <c r="I193" s="527"/>
      <c r="J193" s="527"/>
      <c r="K193" s="17"/>
      <c r="L193" s="224"/>
      <c r="M193" s="17"/>
    </row>
    <row r="194" spans="1:13" s="239" customFormat="1" ht="13" customHeight="1">
      <c r="A194" s="17"/>
      <c r="B194" s="17"/>
      <c r="C194" s="527" t="s">
        <v>4</v>
      </c>
      <c r="D194" s="21">
        <f>INDEX(Kappe!B17:D17,1,MATCH(Eingabe!$C$4,Kappe!$B$12:$D$12))</f>
        <v>247</v>
      </c>
      <c r="E194" s="19" t="s">
        <v>2</v>
      </c>
      <c r="F194" s="17"/>
      <c r="G194" s="527" t="s">
        <v>361</v>
      </c>
      <c r="H194" s="527"/>
      <c r="I194" s="527"/>
      <c r="J194" s="527"/>
      <c r="K194" s="17"/>
      <c r="L194" s="224"/>
      <c r="M194" s="17"/>
    </row>
    <row r="195" spans="1:13" s="239" customFormat="1" ht="13" customHeight="1">
      <c r="A195" s="17"/>
      <c r="B195" s="17"/>
      <c r="C195" s="17" t="s">
        <v>3</v>
      </c>
      <c r="D195" s="21">
        <f>Kappe!$B$18</f>
        <v>1.87</v>
      </c>
      <c r="E195" s="19" t="s">
        <v>7</v>
      </c>
      <c r="F195" s="17"/>
      <c r="G195" s="527" t="s">
        <v>359</v>
      </c>
      <c r="H195" s="527"/>
      <c r="I195" s="527"/>
      <c r="J195" s="527"/>
      <c r="K195" s="17"/>
      <c r="L195" s="224"/>
      <c r="M195" s="17"/>
    </row>
    <row r="196" spans="1:13" s="239" customFormat="1" ht="13" customHeight="1">
      <c r="A196" s="17"/>
      <c r="B196" s="17"/>
      <c r="C196" s="527" t="s">
        <v>64</v>
      </c>
      <c r="D196" s="21">
        <f>INDEX(Kappe!B19:D19,1,MATCH(Eingabe!$C$4,Kappe!$B$12:$D$12))</f>
        <v>132.08556149732618</v>
      </c>
      <c r="E196" s="19" t="s">
        <v>2</v>
      </c>
      <c r="F196" s="17"/>
      <c r="G196" s="527" t="s">
        <v>73</v>
      </c>
      <c r="H196" s="527"/>
      <c r="I196" s="527"/>
      <c r="J196" s="527"/>
      <c r="K196" s="17"/>
      <c r="L196" s="224"/>
      <c r="M196" s="17"/>
    </row>
    <row r="197" spans="1:13" s="239" customFormat="1" ht="13" customHeight="1">
      <c r="A197" s="17"/>
      <c r="B197" s="17"/>
      <c r="C197" s="527" t="s">
        <v>302</v>
      </c>
      <c r="D197" s="21">
        <f>Kappe!$B$53</f>
        <v>4.2779482683033754</v>
      </c>
      <c r="E197" s="19" t="s">
        <v>2</v>
      </c>
      <c r="F197" s="17"/>
      <c r="G197" s="527" t="s">
        <v>75</v>
      </c>
      <c r="H197" s="527"/>
      <c r="I197" s="527"/>
      <c r="J197" s="527"/>
      <c r="K197" s="17"/>
      <c r="L197" s="224"/>
      <c r="M197" s="17"/>
    </row>
    <row r="198" spans="1:13" s="239" customFormat="1" ht="13" customHeight="1">
      <c r="A198" s="17"/>
      <c r="B198" s="17"/>
      <c r="C198" s="25" t="s">
        <v>88</v>
      </c>
      <c r="D198" s="26">
        <f>D197/D196</f>
        <v>3.2387705513066044E-2</v>
      </c>
      <c r="E198" s="520" t="s">
        <v>7</v>
      </c>
      <c r="F198" s="27"/>
      <c r="G198" s="24" t="s">
        <v>46</v>
      </c>
      <c r="H198" s="527"/>
      <c r="I198" s="527"/>
      <c r="J198" s="527"/>
      <c r="K198" s="17"/>
      <c r="L198" s="224"/>
      <c r="M198" s="17"/>
    </row>
    <row r="199" spans="1:13" s="239" customFormat="1" ht="5.5" customHeight="1">
      <c r="A199" s="228"/>
      <c r="B199" s="242"/>
      <c r="C199" s="242"/>
      <c r="D199" s="242"/>
      <c r="E199" s="242"/>
      <c r="F199" s="242"/>
      <c r="G199" s="242"/>
      <c r="H199" s="242"/>
      <c r="I199" s="242"/>
      <c r="J199" s="242"/>
      <c r="K199" s="228"/>
      <c r="L199" s="224"/>
      <c r="M199" s="17"/>
    </row>
    <row r="200" spans="1:13" s="239" customFormat="1" ht="13" customHeight="1">
      <c r="A200" s="224"/>
      <c r="B200" s="233" t="s">
        <v>5</v>
      </c>
      <c r="C200" s="19"/>
      <c r="D200" s="19"/>
      <c r="E200" s="17"/>
      <c r="F200" s="17"/>
      <c r="G200" s="527"/>
      <c r="H200" s="527"/>
      <c r="I200" s="527"/>
      <c r="J200" s="225"/>
      <c r="K200" s="224"/>
      <c r="L200" s="224"/>
      <c r="M200" s="17"/>
    </row>
    <row r="201" spans="1:13" s="239" customFormat="1" ht="13" customHeight="1">
      <c r="A201" s="224"/>
      <c r="B201" s="233"/>
      <c r="C201" s="234" t="s">
        <v>115</v>
      </c>
      <c r="D201" s="21">
        <f>INDEX(Kappe!B21:D21,1,MATCH(Eingabe!$C$4,Kappe!$B$12:$D$12))</f>
        <v>565</v>
      </c>
      <c r="E201" s="19" t="s">
        <v>16</v>
      </c>
      <c r="F201" s="17"/>
      <c r="G201" s="527" t="s">
        <v>137</v>
      </c>
      <c r="H201" s="527"/>
      <c r="I201" s="527"/>
      <c r="J201" s="225"/>
      <c r="K201" s="224"/>
      <c r="L201" s="224"/>
      <c r="M201" s="17"/>
    </row>
    <row r="202" spans="1:13" s="239" customFormat="1" ht="13" customHeight="1">
      <c r="A202" s="224"/>
      <c r="B202" s="233"/>
      <c r="C202" s="666" t="s">
        <v>1152</v>
      </c>
      <c r="D202" s="669">
        <f>Eingabe!N3</f>
        <v>1</v>
      </c>
      <c r="E202" s="19" t="s">
        <v>7</v>
      </c>
      <c r="F202" s="17"/>
      <c r="G202" s="527" t="s">
        <v>1151</v>
      </c>
      <c r="H202" s="527"/>
      <c r="I202" s="527"/>
      <c r="J202" s="225"/>
      <c r="K202" s="224"/>
      <c r="L202" s="224"/>
      <c r="M202" s="17"/>
    </row>
    <row r="203" spans="1:13" s="239" customFormat="1" ht="13" customHeight="1">
      <c r="A203" s="224"/>
      <c r="B203" s="233"/>
      <c r="C203" s="234" t="s">
        <v>6</v>
      </c>
      <c r="D203" s="21">
        <f>INDEX(Kappe!B22:D22,1,MATCH(Eingabe!$C$4,Kappe!$B$12:$D$12))</f>
        <v>101.7</v>
      </c>
      <c r="E203" s="19" t="s">
        <v>2</v>
      </c>
      <c r="F203" s="17"/>
      <c r="G203" s="527" t="s">
        <v>1324</v>
      </c>
      <c r="H203" s="527"/>
      <c r="I203" s="527"/>
      <c r="J203" s="225"/>
      <c r="K203" s="224"/>
      <c r="L203" s="224"/>
      <c r="M203" s="17"/>
    </row>
    <row r="204" spans="1:13" s="239" customFormat="1" ht="13" customHeight="1">
      <c r="A204" s="224"/>
      <c r="B204" s="233"/>
      <c r="C204" s="234" t="s">
        <v>108</v>
      </c>
      <c r="D204" s="18">
        <f>Kappe!B23</f>
        <v>1.2</v>
      </c>
      <c r="E204" s="19" t="s">
        <v>7</v>
      </c>
      <c r="F204" s="17"/>
      <c r="G204" s="527" t="s">
        <v>1324</v>
      </c>
      <c r="H204" s="527"/>
      <c r="I204" s="527"/>
      <c r="J204" s="225"/>
      <c r="K204" s="224"/>
      <c r="L204" s="224"/>
      <c r="M204" s="17"/>
    </row>
    <row r="205" spans="1:13" s="239" customFormat="1" ht="13" customHeight="1">
      <c r="A205" s="224"/>
      <c r="B205" s="233"/>
      <c r="C205" s="234" t="s">
        <v>123</v>
      </c>
      <c r="D205" s="21">
        <f>INDEX(Kappe!B24:D24,1,MATCH(Eingabe!$C$4,Kappe!$B$12:$D$12))</f>
        <v>84.75</v>
      </c>
      <c r="E205" s="19" t="s">
        <v>2</v>
      </c>
      <c r="F205" s="17"/>
      <c r="G205" s="527" t="s">
        <v>73</v>
      </c>
      <c r="H205" s="527"/>
      <c r="I205" s="527"/>
      <c r="J205" s="225"/>
      <c r="K205" s="224"/>
      <c r="L205" s="224"/>
      <c r="M205" s="17"/>
    </row>
    <row r="206" spans="1:13" s="239" customFormat="1" ht="13" customHeight="1">
      <c r="A206" s="224"/>
      <c r="B206" s="233"/>
      <c r="C206" s="527" t="s">
        <v>302</v>
      </c>
      <c r="D206" s="21">
        <f>Kappe!$B$53</f>
        <v>4.2779482683033754</v>
      </c>
      <c r="E206" s="19" t="s">
        <v>2</v>
      </c>
      <c r="F206" s="17"/>
      <c r="G206" s="527" t="s">
        <v>75</v>
      </c>
      <c r="H206" s="527"/>
      <c r="I206" s="527"/>
      <c r="J206" s="225"/>
      <c r="K206" s="224"/>
      <c r="L206" s="224"/>
      <c r="M206" s="17"/>
    </row>
    <row r="207" spans="1:13" s="239" customFormat="1" ht="13" customHeight="1">
      <c r="A207" s="224"/>
      <c r="B207" s="233"/>
      <c r="C207" s="25" t="s">
        <v>122</v>
      </c>
      <c r="D207" s="26">
        <f>D206/D205</f>
        <v>5.0477265702694694E-2</v>
      </c>
      <c r="E207" s="520" t="s">
        <v>7</v>
      </c>
      <c r="F207" s="27"/>
      <c r="G207" s="24" t="s">
        <v>46</v>
      </c>
      <c r="H207" s="527"/>
      <c r="I207" s="527"/>
      <c r="J207" s="225"/>
      <c r="K207" s="224"/>
      <c r="L207" s="224"/>
      <c r="M207" s="17"/>
    </row>
    <row r="208" spans="1:13" s="239" customFormat="1" ht="5.5" customHeight="1">
      <c r="A208" s="228"/>
      <c r="B208" s="242"/>
      <c r="C208" s="242"/>
      <c r="D208" s="242"/>
      <c r="E208" s="242"/>
      <c r="F208" s="242"/>
      <c r="G208" s="242"/>
      <c r="H208" s="242"/>
      <c r="I208" s="242"/>
      <c r="J208" s="242"/>
      <c r="K208" s="228"/>
      <c r="L208" s="224"/>
      <c r="M208" s="17"/>
    </row>
    <row r="209" spans="1:13" s="239" customFormat="1" ht="13" customHeight="1">
      <c r="A209" s="224"/>
      <c r="B209" s="233" t="s">
        <v>8</v>
      </c>
      <c r="C209" s="19"/>
      <c r="D209" s="19"/>
      <c r="E209" s="17"/>
      <c r="F209" s="17"/>
      <c r="G209" s="527"/>
      <c r="H209" s="527"/>
      <c r="I209" s="527"/>
      <c r="J209" s="225"/>
      <c r="K209" s="224"/>
      <c r="L209" s="224"/>
      <c r="M209" s="17"/>
    </row>
    <row r="210" spans="1:13" s="239" customFormat="1" ht="13" customHeight="1">
      <c r="A210" s="224"/>
      <c r="B210" s="17"/>
      <c r="C210" s="527" t="s">
        <v>78</v>
      </c>
      <c r="D210" s="21">
        <f>INDEX(Kappe!B27:D27,1,MATCH(Eingabe!$C$4,Kappe!$B$12:$D$12))</f>
        <v>30.846077222233625</v>
      </c>
      <c r="E210" s="19" t="s">
        <v>2</v>
      </c>
      <c r="F210" s="17"/>
      <c r="G210" s="527" t="s">
        <v>1324</v>
      </c>
      <c r="H210" s="527"/>
      <c r="I210" s="527"/>
      <c r="J210" s="225"/>
      <c r="K210" s="224"/>
      <c r="L210" s="224"/>
      <c r="M210" s="17"/>
    </row>
    <row r="211" spans="1:13" s="239" customFormat="1" ht="13" customHeight="1">
      <c r="A211" s="224"/>
      <c r="B211" s="17"/>
      <c r="C211" s="527" t="s">
        <v>79</v>
      </c>
      <c r="D211" s="20">
        <f>INDEX(Kappe!B28:D28,1,MATCH(Eingabe!$C$4,Kappe!$B$12:$D$12))</f>
        <v>51984</v>
      </c>
      <c r="E211" s="19" t="s">
        <v>16</v>
      </c>
      <c r="F211" s="17"/>
      <c r="G211" s="527" t="s">
        <v>1324</v>
      </c>
      <c r="H211" s="527"/>
      <c r="I211" s="527"/>
      <c r="J211" s="225"/>
      <c r="K211" s="224"/>
      <c r="L211" s="224"/>
      <c r="M211" s="17"/>
    </row>
    <row r="212" spans="1:13" s="239" customFormat="1" ht="13" customHeight="1">
      <c r="A212" s="224"/>
      <c r="B212" s="17"/>
      <c r="C212" s="527" t="s">
        <v>80</v>
      </c>
      <c r="D212" s="20">
        <f>INDEX(Kappe!B29:D29,1,MATCH(Eingabe!$C$4,Kappe!$B$12:$D$12))</f>
        <v>69168</v>
      </c>
      <c r="E212" s="19" t="s">
        <v>16</v>
      </c>
      <c r="F212" s="17"/>
      <c r="G212" s="527" t="s">
        <v>1324</v>
      </c>
      <c r="H212" s="527"/>
      <c r="I212" s="527"/>
      <c r="J212" s="225"/>
      <c r="K212" s="224"/>
      <c r="L212" s="224"/>
      <c r="M212" s="17"/>
    </row>
    <row r="213" spans="1:13" s="239" customFormat="1" ht="13" customHeight="1">
      <c r="A213" s="224"/>
      <c r="B213" s="17"/>
      <c r="C213" s="527" t="s">
        <v>10</v>
      </c>
      <c r="D213" s="18">
        <f>Kappe!$B$26</f>
        <v>8.5</v>
      </c>
      <c r="E213" s="19" t="s">
        <v>7</v>
      </c>
      <c r="F213" s="17"/>
      <c r="G213" s="527" t="s">
        <v>1324</v>
      </c>
      <c r="H213" s="527"/>
      <c r="I213" s="527"/>
      <c r="J213" s="225"/>
      <c r="K213" s="224"/>
      <c r="L213" s="224"/>
      <c r="M213" s="17"/>
    </row>
    <row r="214" spans="1:13" s="239" customFormat="1" ht="13" customHeight="1">
      <c r="A214" s="224"/>
      <c r="B214" s="17"/>
      <c r="C214" s="23" t="s">
        <v>81</v>
      </c>
      <c r="D214" s="21">
        <f>INDEX(Kappe!B30:D30,1,MATCH(Eingabe!$C$4,Kappe!$B$12:$D$12))</f>
        <v>1</v>
      </c>
      <c r="E214" s="19" t="s">
        <v>7</v>
      </c>
      <c r="F214" s="17"/>
      <c r="G214" s="527" t="s">
        <v>1324</v>
      </c>
      <c r="H214" s="527"/>
      <c r="I214" s="527"/>
      <c r="J214" s="225"/>
      <c r="K214" s="224"/>
      <c r="L214" s="224"/>
      <c r="M214" s="17"/>
    </row>
    <row r="215" spans="1:13" s="239" customFormat="1" ht="13" customHeight="1">
      <c r="A215" s="224"/>
      <c r="B215" s="17"/>
      <c r="C215" s="23" t="s">
        <v>82</v>
      </c>
      <c r="D215" s="21">
        <f>INDEX(Kappe!B31:D31,1,MATCH(Eingabe!$C$4,Kappe!$B$12:$D$12))</f>
        <v>1</v>
      </c>
      <c r="E215" s="19" t="s">
        <v>7</v>
      </c>
      <c r="F215" s="17"/>
      <c r="G215" s="527" t="s">
        <v>1324</v>
      </c>
      <c r="H215" s="527"/>
      <c r="I215" s="527"/>
      <c r="J215" s="225"/>
      <c r="K215" s="224"/>
      <c r="L215" s="224"/>
      <c r="M215" s="17"/>
    </row>
    <row r="216" spans="1:13" s="239" customFormat="1" ht="13" customHeight="1">
      <c r="A216" s="224"/>
      <c r="B216" s="17"/>
      <c r="C216" s="23" t="s">
        <v>83</v>
      </c>
      <c r="D216" s="21">
        <f>INDEX(Kappe!B32:D32,1,MATCH(Eingabe!$C$4,Kappe!$B$12:$D$12))</f>
        <v>1</v>
      </c>
      <c r="E216" s="19" t="s">
        <v>7</v>
      </c>
      <c r="F216" s="17"/>
      <c r="G216" s="527" t="s">
        <v>1324</v>
      </c>
      <c r="H216" s="527"/>
      <c r="I216" s="527"/>
      <c r="J216" s="225"/>
      <c r="K216" s="224"/>
      <c r="L216" s="224"/>
      <c r="M216" s="17"/>
    </row>
    <row r="217" spans="1:13" s="239" customFormat="1" ht="13" customHeight="1">
      <c r="A217" s="224"/>
      <c r="B217" s="17"/>
      <c r="C217" s="23" t="s">
        <v>84</v>
      </c>
      <c r="D217" s="21">
        <f>INDEX(Kappe!B33:D33,1,MATCH(Eingabe!$C$4,Kappe!$B$12:$D$12))</f>
        <v>1</v>
      </c>
      <c r="E217" s="19" t="s">
        <v>7</v>
      </c>
      <c r="F217" s="17"/>
      <c r="G217" s="527" t="s">
        <v>1324</v>
      </c>
      <c r="H217" s="527"/>
      <c r="I217" s="527"/>
      <c r="J217" s="225"/>
      <c r="K217" s="224"/>
      <c r="L217" s="224"/>
      <c r="M217" s="17"/>
    </row>
    <row r="218" spans="1:13" s="239" customFormat="1" ht="13" customHeight="1">
      <c r="A218" s="224"/>
      <c r="B218" s="17"/>
      <c r="C218" s="666" t="s">
        <v>1152</v>
      </c>
      <c r="D218" s="669">
        <f>Eingabe!N3</f>
        <v>1</v>
      </c>
      <c r="E218" s="19" t="s">
        <v>7</v>
      </c>
      <c r="F218" s="17"/>
      <c r="G218" s="527" t="s">
        <v>1151</v>
      </c>
      <c r="H218" s="527"/>
      <c r="I218" s="527"/>
      <c r="J218" s="225"/>
      <c r="K218" s="224"/>
      <c r="L218" s="224"/>
      <c r="M218" s="17"/>
    </row>
    <row r="219" spans="1:13" s="239" customFormat="1" ht="13" customHeight="1">
      <c r="A219" s="224"/>
      <c r="B219" s="17"/>
      <c r="C219" s="527" t="s">
        <v>77</v>
      </c>
      <c r="D219" s="21">
        <f>INDEX(Kappe!B34:D34,1,MATCH(Eingabe!$C$4,Kappe!$B$12:$D$12))</f>
        <v>41.042656765686658</v>
      </c>
      <c r="E219" s="19" t="s">
        <v>2</v>
      </c>
      <c r="F219" s="17"/>
      <c r="G219" s="527" t="s">
        <v>1324</v>
      </c>
      <c r="H219" s="527"/>
      <c r="I219" s="527"/>
      <c r="J219" s="225"/>
      <c r="K219" s="224"/>
      <c r="L219" s="224"/>
      <c r="M219" s="17"/>
    </row>
    <row r="220" spans="1:13" s="239" customFormat="1" ht="13" customHeight="1">
      <c r="A220" s="224"/>
      <c r="B220" s="17"/>
      <c r="C220" s="17" t="s">
        <v>12</v>
      </c>
      <c r="D220" s="21">
        <f>Kappe!$B$35</f>
        <v>1.2</v>
      </c>
      <c r="E220" s="19" t="s">
        <v>7</v>
      </c>
      <c r="F220" s="17"/>
      <c r="G220" s="527" t="s">
        <v>1324</v>
      </c>
      <c r="H220" s="527"/>
      <c r="I220" s="527"/>
      <c r="J220" s="225"/>
      <c r="K220" s="224"/>
      <c r="L220" s="224"/>
      <c r="M220" s="17"/>
    </row>
    <row r="221" spans="1:13" s="239" customFormat="1" ht="13" customHeight="1">
      <c r="A221" s="224"/>
      <c r="B221" s="17"/>
      <c r="C221" s="527" t="s">
        <v>71</v>
      </c>
      <c r="D221" s="21">
        <f>INDEX(Kappe!B36:D36,1,MATCH(Eingabe!$C$4,Kappe!$B$12:$D$12))</f>
        <v>34.202213971405548</v>
      </c>
      <c r="E221" s="19" t="s">
        <v>2</v>
      </c>
      <c r="F221" s="17"/>
      <c r="G221" s="527" t="s">
        <v>73</v>
      </c>
      <c r="H221" s="527"/>
      <c r="I221" s="527"/>
      <c r="J221" s="225"/>
      <c r="K221" s="224"/>
      <c r="L221" s="224"/>
      <c r="M221" s="17"/>
    </row>
    <row r="222" spans="1:13" s="239" customFormat="1" ht="13" customHeight="1">
      <c r="A222" s="224"/>
      <c r="B222" s="17"/>
      <c r="C222" s="527" t="s">
        <v>302</v>
      </c>
      <c r="D222" s="21">
        <f>Kappe!$B$53</f>
        <v>4.2779482683033754</v>
      </c>
      <c r="E222" s="19" t="s">
        <v>2</v>
      </c>
      <c r="F222" s="17"/>
      <c r="G222" s="527" t="s">
        <v>75</v>
      </c>
      <c r="H222" s="527"/>
      <c r="I222" s="527"/>
      <c r="J222" s="225"/>
      <c r="K222" s="224"/>
      <c r="L222" s="224"/>
      <c r="M222" s="17"/>
    </row>
    <row r="223" spans="1:13" s="239" customFormat="1" ht="13" customHeight="1">
      <c r="A223" s="224"/>
      <c r="B223" s="17"/>
      <c r="C223" s="25" t="s">
        <v>89</v>
      </c>
      <c r="D223" s="26">
        <f>D222/D221</f>
        <v>0.12507810961828131</v>
      </c>
      <c r="E223" s="520" t="s">
        <v>7</v>
      </c>
      <c r="F223" s="27"/>
      <c r="G223" s="24" t="s">
        <v>46</v>
      </c>
      <c r="H223" s="527"/>
      <c r="I223" s="527"/>
      <c r="J223" s="225"/>
      <c r="K223" s="224"/>
      <c r="L223" s="224"/>
      <c r="M223" s="17"/>
    </row>
    <row r="224" spans="1:13" s="239" customFormat="1" ht="5.5" customHeight="1">
      <c r="A224" s="224"/>
      <c r="B224" s="17"/>
      <c r="C224" s="25"/>
      <c r="D224" s="26"/>
      <c r="E224" s="520"/>
      <c r="F224" s="27"/>
      <c r="G224" s="24"/>
      <c r="H224" s="527"/>
      <c r="I224" s="527"/>
      <c r="J224" s="225"/>
      <c r="K224" s="224"/>
      <c r="L224" s="224"/>
      <c r="M224" s="17"/>
    </row>
    <row r="225" spans="1:13" s="239" customFormat="1" ht="13" customHeight="1">
      <c r="A225" s="1032" t="s">
        <v>513</v>
      </c>
      <c r="B225" s="1032"/>
      <c r="C225" s="1032"/>
      <c r="D225" s="1032"/>
      <c r="E225" s="1032"/>
      <c r="F225" s="1032"/>
      <c r="G225" s="1032"/>
      <c r="H225" s="1032"/>
      <c r="I225" s="1032"/>
      <c r="J225" s="1032"/>
      <c r="K225" s="520"/>
      <c r="L225" s="224"/>
      <c r="M225" s="17"/>
    </row>
    <row r="226" spans="1:13" s="239" customFormat="1" ht="13" customHeight="1">
      <c r="A226" s="224"/>
      <c r="B226" s="235" t="s">
        <v>120</v>
      </c>
      <c r="C226" s="25"/>
      <c r="D226" s="26"/>
      <c r="E226" s="520"/>
      <c r="F226" s="27"/>
      <c r="G226" s="24"/>
      <c r="H226" s="527"/>
      <c r="I226" s="527"/>
      <c r="J226" s="225"/>
      <c r="K226" s="224"/>
      <c r="L226" s="224"/>
      <c r="M226" s="17"/>
    </row>
    <row r="227" spans="1:13" s="239" customFormat="1" ht="13" customHeight="1">
      <c r="A227" s="224"/>
      <c r="B227" s="17"/>
      <c r="C227" s="527" t="s">
        <v>118</v>
      </c>
      <c r="D227" s="18">
        <f>INDEX(Kappe!B58:D58,1,MATCH(Eingabe!$C$4,Kappe!$B$12:$D$12))</f>
        <v>760.54326346673008</v>
      </c>
      <c r="E227" s="19" t="s">
        <v>119</v>
      </c>
      <c r="F227" s="17"/>
      <c r="G227" s="527" t="s">
        <v>362</v>
      </c>
      <c r="H227" s="527"/>
      <c r="I227" s="527"/>
      <c r="J227" s="225"/>
      <c r="K227" s="224"/>
      <c r="L227" s="224"/>
      <c r="M227" s="17"/>
    </row>
    <row r="228" spans="1:13" s="239" customFormat="1" ht="13" customHeight="1">
      <c r="A228" s="224"/>
      <c r="B228" s="17"/>
      <c r="C228" s="17" t="s">
        <v>3</v>
      </c>
      <c r="D228" s="21">
        <f>Kappe!$B$59</f>
        <v>1.56</v>
      </c>
      <c r="E228" s="19" t="s">
        <v>7</v>
      </c>
      <c r="F228" s="17"/>
      <c r="G228" s="527" t="s">
        <v>359</v>
      </c>
      <c r="H228" s="527"/>
      <c r="I228" s="527"/>
      <c r="J228" s="225"/>
      <c r="K228" s="224"/>
      <c r="L228" s="224"/>
      <c r="M228" s="17"/>
    </row>
    <row r="229" spans="1:13" s="239" customFormat="1" ht="13" customHeight="1">
      <c r="A229" s="224"/>
      <c r="B229" s="17"/>
      <c r="C229" s="527" t="s">
        <v>65</v>
      </c>
      <c r="D229" s="21">
        <f>INDEX(Kappe!B60:D60,1,MATCH(Eingabe!$C$4,Kappe!$B$12:$D$12))</f>
        <v>30.470483311968351</v>
      </c>
      <c r="E229" s="19" t="s">
        <v>2</v>
      </c>
      <c r="F229" s="17"/>
      <c r="G229" s="527" t="s">
        <v>73</v>
      </c>
      <c r="H229" s="527"/>
      <c r="I229" s="527"/>
      <c r="J229" s="225"/>
      <c r="K229" s="224"/>
      <c r="L229" s="224"/>
      <c r="M229" s="17"/>
    </row>
    <row r="230" spans="1:13" s="239" customFormat="1" ht="13" customHeight="1">
      <c r="A230" s="224"/>
      <c r="B230" s="17"/>
      <c r="C230" s="527" t="s">
        <v>303</v>
      </c>
      <c r="D230" s="21">
        <f>Kappe!$B$61</f>
        <v>27.194109375</v>
      </c>
      <c r="E230" s="19" t="s">
        <v>2</v>
      </c>
      <c r="F230" s="17"/>
      <c r="G230" s="527" t="s">
        <v>75</v>
      </c>
      <c r="H230" s="527"/>
      <c r="I230" s="527"/>
      <c r="J230" s="225"/>
      <c r="K230" s="224"/>
      <c r="L230" s="224"/>
      <c r="M230" s="17"/>
    </row>
    <row r="231" spans="1:13" s="239" customFormat="1" ht="13" customHeight="1">
      <c r="A231" s="224"/>
      <c r="B231" s="17"/>
      <c r="C231" s="25" t="s">
        <v>90</v>
      </c>
      <c r="D231" s="26">
        <f>D230/D229</f>
        <v>0.8924738441650697</v>
      </c>
      <c r="E231" s="520" t="s">
        <v>7</v>
      </c>
      <c r="F231" s="27"/>
      <c r="G231" s="24" t="s">
        <v>46</v>
      </c>
      <c r="H231" s="527"/>
      <c r="I231" s="527"/>
      <c r="J231" s="225"/>
      <c r="K231" s="224"/>
      <c r="L231" s="224"/>
      <c r="M231" s="17"/>
    </row>
    <row r="232" spans="1:13" s="239" customFormat="1" ht="5.5" customHeight="1">
      <c r="A232" s="224"/>
      <c r="B232" s="17"/>
      <c r="C232" s="25"/>
      <c r="D232" s="26"/>
      <c r="E232" s="520"/>
      <c r="F232" s="27"/>
      <c r="G232" s="24"/>
      <c r="H232" s="527"/>
      <c r="I232" s="527"/>
      <c r="J232" s="225"/>
      <c r="K232" s="224"/>
      <c r="L232" s="224"/>
      <c r="M232" s="17"/>
    </row>
    <row r="233" spans="1:13" s="239" customFormat="1" ht="13" customHeight="1">
      <c r="A233" s="224"/>
      <c r="B233" s="238" t="s">
        <v>9</v>
      </c>
      <c r="C233" s="25"/>
      <c r="D233" s="26"/>
      <c r="E233" s="520"/>
      <c r="F233" s="27"/>
      <c r="G233" s="24"/>
      <c r="H233" s="527"/>
      <c r="I233" s="527"/>
      <c r="J233" s="225"/>
      <c r="K233" s="224"/>
      <c r="L233" s="224"/>
      <c r="M233" s="17"/>
    </row>
    <row r="234" spans="1:13" s="239" customFormat="1" ht="13" customHeight="1">
      <c r="A234" s="224"/>
      <c r="B234" s="17"/>
      <c r="C234" s="4" t="s">
        <v>10</v>
      </c>
      <c r="D234" s="18">
        <f>Kappe!$B$64</f>
        <v>2</v>
      </c>
      <c r="E234" s="19" t="s">
        <v>7</v>
      </c>
      <c r="F234" s="17"/>
      <c r="G234" s="527" t="s">
        <v>1324</v>
      </c>
      <c r="H234" s="527"/>
      <c r="I234" s="527"/>
      <c r="J234" s="225"/>
      <c r="K234" s="224"/>
      <c r="L234" s="224"/>
      <c r="M234" s="17"/>
    </row>
    <row r="235" spans="1:13" s="239" customFormat="1" ht="13" customHeight="1">
      <c r="A235" s="224"/>
      <c r="B235" s="17"/>
      <c r="C235" s="527" t="s">
        <v>18</v>
      </c>
      <c r="D235" s="21">
        <f>INDEX(Kappe!B65:D65,1,MATCH(Eingabe!$C$4,Kappe!$B$12:$D$12))</f>
        <v>82.085313531373316</v>
      </c>
      <c r="E235" s="237" t="s">
        <v>2</v>
      </c>
      <c r="F235" s="17"/>
      <c r="G235" s="527" t="s">
        <v>1324</v>
      </c>
      <c r="H235" s="527"/>
      <c r="I235" s="527"/>
      <c r="J235" s="225"/>
      <c r="K235" s="224"/>
      <c r="L235" s="224"/>
      <c r="M235" s="17"/>
    </row>
    <row r="236" spans="1:13" s="239" customFormat="1" ht="13" customHeight="1">
      <c r="A236" s="224"/>
      <c r="B236" s="17"/>
      <c r="C236" s="17" t="s">
        <v>12</v>
      </c>
      <c r="D236" s="21">
        <f>Kappe!$B$66</f>
        <v>1.2</v>
      </c>
      <c r="E236" s="19" t="s">
        <v>7</v>
      </c>
      <c r="F236" s="17"/>
      <c r="G236" s="527" t="s">
        <v>1324</v>
      </c>
      <c r="H236" s="527"/>
      <c r="I236" s="527"/>
      <c r="J236" s="225"/>
      <c r="K236" s="224"/>
      <c r="L236" s="224"/>
      <c r="M236" s="17"/>
    </row>
    <row r="237" spans="1:13" s="239" customFormat="1" ht="13" customHeight="1">
      <c r="A237" s="224"/>
      <c r="B237" s="17"/>
      <c r="C237" s="17" t="s">
        <v>72</v>
      </c>
      <c r="D237" s="21">
        <f>INDEX(Kappe!B67:D67,1,MATCH(Eingabe!$C$4,Kappe!$B$12:$D$12))</f>
        <v>68.404427942811097</v>
      </c>
      <c r="E237" s="19" t="s">
        <v>2</v>
      </c>
      <c r="F237" s="17"/>
      <c r="G237" s="527" t="s">
        <v>73</v>
      </c>
      <c r="H237" s="527"/>
      <c r="I237" s="527"/>
      <c r="J237" s="225"/>
      <c r="K237" s="224"/>
      <c r="L237" s="224"/>
      <c r="M237" s="17"/>
    </row>
    <row r="238" spans="1:13" s="239" customFormat="1" ht="13" customHeight="1">
      <c r="A238" s="224"/>
      <c r="B238" s="17"/>
      <c r="C238" s="527" t="s">
        <v>86</v>
      </c>
      <c r="D238" s="21">
        <f>Kappe!$B$84</f>
        <v>27.194109375</v>
      </c>
      <c r="E238" s="19" t="s">
        <v>2</v>
      </c>
      <c r="F238" s="17"/>
      <c r="G238" s="527" t="s">
        <v>75</v>
      </c>
      <c r="H238" s="527"/>
      <c r="I238" s="527"/>
      <c r="J238" s="225"/>
      <c r="K238" s="224"/>
      <c r="L238" s="224"/>
      <c r="M238" s="17"/>
    </row>
    <row r="239" spans="1:13" s="239" customFormat="1" ht="13" customHeight="1">
      <c r="A239" s="224"/>
      <c r="B239" s="17"/>
      <c r="C239" s="25" t="s">
        <v>91</v>
      </c>
      <c r="D239" s="26">
        <f>D238/D237</f>
        <v>0.39754896273287144</v>
      </c>
      <c r="E239" s="520" t="s">
        <v>7</v>
      </c>
      <c r="F239" s="27"/>
      <c r="G239" s="24" t="s">
        <v>46</v>
      </c>
      <c r="H239" s="527"/>
      <c r="I239" s="527"/>
      <c r="J239" s="225"/>
      <c r="K239" s="224"/>
      <c r="L239" s="224"/>
      <c r="M239" s="17"/>
    </row>
    <row r="240" spans="1:13" s="239" customFormat="1" ht="5.9" customHeight="1">
      <c r="A240" s="224"/>
      <c r="B240" s="17"/>
      <c r="C240" s="25"/>
      <c r="D240" s="26"/>
      <c r="E240" s="520"/>
      <c r="F240" s="27"/>
      <c r="G240" s="24"/>
      <c r="H240" s="527"/>
      <c r="I240" s="527"/>
      <c r="J240" s="225"/>
      <c r="K240" s="224"/>
      <c r="L240" s="224"/>
      <c r="M240" s="17"/>
    </row>
    <row r="241" spans="1:18" s="239" customFormat="1" ht="13" customHeight="1">
      <c r="A241" s="1034" t="s">
        <v>517</v>
      </c>
      <c r="B241" s="1034"/>
      <c r="C241" s="1034"/>
      <c r="D241" s="1034"/>
      <c r="E241" s="1034"/>
      <c r="F241" s="1034"/>
      <c r="G241" s="1034"/>
      <c r="H241" s="1034"/>
      <c r="I241" s="1034"/>
      <c r="J241" s="1034"/>
      <c r="K241" s="519"/>
      <c r="L241" s="224"/>
      <c r="M241" s="17"/>
    </row>
    <row r="242" spans="1:18" s="239" customFormat="1" ht="5.9" customHeight="1">
      <c r="A242" s="224"/>
      <c r="B242" s="224"/>
      <c r="C242" s="231"/>
      <c r="D242" s="229"/>
      <c r="E242" s="227"/>
      <c r="F242" s="224"/>
      <c r="G242" s="225"/>
      <c r="H242" s="230"/>
      <c r="I242" s="224"/>
      <c r="J242" s="224"/>
      <c r="K242" s="224"/>
      <c r="L242" s="224"/>
      <c r="M242" s="17"/>
    </row>
    <row r="243" spans="1:18" s="239" customFormat="1" ht="13" customHeight="1">
      <c r="A243" s="224"/>
      <c r="B243" s="17"/>
      <c r="C243" s="25" t="s">
        <v>148</v>
      </c>
      <c r="D243" s="21">
        <f>INDEX(Kappe!B89:C89,1,MATCH(Eingabe!$C$4,Kappe!$B$12:$C$12))</f>
        <v>0.11568830314884972</v>
      </c>
      <c r="E243" s="19" t="s">
        <v>7</v>
      </c>
      <c r="F243" s="17"/>
      <c r="G243" s="527" t="s">
        <v>515</v>
      </c>
      <c r="H243" s="71"/>
      <c r="I243" s="27"/>
      <c r="J243" s="224"/>
      <c r="K243" s="224"/>
      <c r="L243" s="224"/>
      <c r="M243" s="17"/>
    </row>
    <row r="244" spans="1:18" s="239" customFormat="1" ht="13" customHeight="1">
      <c r="A244" s="224"/>
      <c r="B244" s="17"/>
      <c r="C244" s="23" t="s">
        <v>87</v>
      </c>
      <c r="D244" s="21">
        <f>INDEX(Kappe!B90:D90,1,MATCH(Eingabe!$C$4,Kappe!$B$12:$D$12))</f>
        <v>0.8924738441650697</v>
      </c>
      <c r="E244" s="19" t="s">
        <v>7</v>
      </c>
      <c r="F244" s="17"/>
      <c r="G244" s="527" t="s">
        <v>519</v>
      </c>
      <c r="H244" s="71"/>
      <c r="I244" s="27"/>
      <c r="J244" s="224"/>
      <c r="K244" s="224"/>
      <c r="L244" s="224"/>
      <c r="M244" s="17"/>
    </row>
    <row r="245" spans="1:18" s="239" customFormat="1" ht="2.2999999999999998" customHeight="1">
      <c r="A245" s="224"/>
      <c r="B245" s="17"/>
      <c r="C245" s="23"/>
      <c r="D245" s="21"/>
      <c r="E245" s="19"/>
      <c r="F245" s="17"/>
      <c r="G245" s="527"/>
      <c r="H245" s="71"/>
      <c r="I245" s="27"/>
      <c r="J245" s="224"/>
      <c r="K245" s="224"/>
      <c r="L245" s="224"/>
      <c r="M245" s="17"/>
    </row>
    <row r="246" spans="1:18" s="239" customFormat="1" ht="13" customHeight="1">
      <c r="A246" s="224"/>
      <c r="B246" s="17"/>
      <c r="C246" s="25" t="s">
        <v>548</v>
      </c>
      <c r="D246" s="26">
        <f>INDEX(Kappe!B92:D92,1,MATCH(Eingabe!$C$4,Kappe!$B$12:$D$12))</f>
        <v>0.84795996148612596</v>
      </c>
      <c r="E246" s="520" t="s">
        <v>7</v>
      </c>
      <c r="F246" s="27"/>
      <c r="G246" s="24" t="s">
        <v>1324</v>
      </c>
      <c r="H246" s="71"/>
      <c r="I246" s="27"/>
      <c r="J246" s="224"/>
      <c r="K246" s="224"/>
      <c r="L246" s="224"/>
      <c r="M246" s="17"/>
    </row>
    <row r="247" spans="1:18" s="1" customFormat="1" ht="5.9" customHeight="1">
      <c r="A247" s="17"/>
      <c r="B247" s="17"/>
      <c r="C247" s="23"/>
      <c r="D247" s="16"/>
      <c r="E247" s="11"/>
      <c r="F247" s="402"/>
      <c r="G247" s="15"/>
      <c r="H247" s="20"/>
      <c r="I247" s="17"/>
      <c r="J247" s="17"/>
      <c r="K247" s="402"/>
      <c r="L247" s="402"/>
      <c r="M247" s="402"/>
      <c r="N247" s="531"/>
      <c r="O247" s="531"/>
      <c r="P247" s="531"/>
      <c r="Q247" s="531"/>
      <c r="R247" s="531"/>
    </row>
    <row r="248" spans="1:18" s="1" customFormat="1" ht="13" customHeight="1">
      <c r="A248" s="1033" t="s">
        <v>1155</v>
      </c>
      <c r="B248" s="1033"/>
      <c r="C248" s="1033"/>
      <c r="D248" s="1033"/>
      <c r="E248" s="1033"/>
      <c r="F248" s="1033"/>
      <c r="G248" s="1033"/>
      <c r="H248" s="1033"/>
      <c r="I248" s="1033"/>
      <c r="J248" s="1033"/>
      <c r="K248" s="502"/>
      <c r="L248" s="224"/>
      <c r="M248" s="402"/>
      <c r="N248" s="531"/>
      <c r="O248" s="531"/>
      <c r="P248" s="531"/>
      <c r="Q248" s="531"/>
      <c r="R248" s="531"/>
    </row>
    <row r="249" spans="1:18" s="1" customFormat="1" ht="5.9" customHeight="1">
      <c r="A249" s="228"/>
      <c r="B249" s="242"/>
      <c r="C249" s="242"/>
      <c r="D249" s="242"/>
      <c r="E249" s="242"/>
      <c r="F249" s="242"/>
      <c r="G249" s="242"/>
      <c r="H249" s="242"/>
      <c r="I249" s="242"/>
      <c r="J249" s="242"/>
      <c r="K249" s="228"/>
      <c r="L249" s="224"/>
      <c r="M249" s="402"/>
      <c r="N249" s="531"/>
      <c r="O249" s="531"/>
      <c r="P249" s="531"/>
      <c r="Q249" s="531"/>
      <c r="R249" s="531"/>
    </row>
    <row r="250" spans="1:18" s="1" customFormat="1" ht="14.15" customHeight="1">
      <c r="A250" s="1032" t="s">
        <v>514</v>
      </c>
      <c r="B250" s="1032"/>
      <c r="C250" s="1032"/>
      <c r="D250" s="1032"/>
      <c r="E250" s="1032"/>
      <c r="F250" s="1032"/>
      <c r="G250" s="1032"/>
      <c r="H250" s="1032"/>
      <c r="I250" s="1032"/>
      <c r="J250" s="1032"/>
      <c r="K250" s="520"/>
      <c r="L250" s="224"/>
      <c r="M250" s="402"/>
      <c r="N250" s="531"/>
      <c r="O250" s="531"/>
      <c r="P250" s="531"/>
      <c r="Q250" s="531"/>
      <c r="R250" s="531"/>
    </row>
    <row r="251" spans="1:18" s="1" customFormat="1" ht="13" customHeight="1">
      <c r="A251" s="17"/>
      <c r="B251" s="14" t="s">
        <v>1</v>
      </c>
      <c r="C251" s="232"/>
      <c r="D251" s="232"/>
      <c r="E251" s="232"/>
      <c r="F251" s="17"/>
      <c r="G251" s="527"/>
      <c r="H251" s="527"/>
      <c r="I251" s="527"/>
      <c r="J251" s="527"/>
      <c r="K251" s="17"/>
      <c r="L251" s="224"/>
      <c r="M251" s="402"/>
      <c r="N251" s="531"/>
      <c r="O251" s="531"/>
      <c r="P251" s="531"/>
      <c r="Q251" s="531"/>
      <c r="R251" s="531"/>
    </row>
    <row r="252" spans="1:18" s="1" customFormat="1" ht="13" customHeight="1">
      <c r="A252" s="17"/>
      <c r="B252" s="17"/>
      <c r="C252" s="527" t="s">
        <v>4</v>
      </c>
      <c r="D252" s="21">
        <f>INDEX(Tragwerk!$M$23:$O$23,1,MATCH(Eingabe!$C$4,Tragwerk!$M$14:$O$14))</f>
        <v>247</v>
      </c>
      <c r="E252" s="19" t="s">
        <v>2</v>
      </c>
      <c r="F252" s="17"/>
      <c r="G252" s="527" t="s">
        <v>358</v>
      </c>
      <c r="H252" s="527"/>
      <c r="I252" s="527"/>
      <c r="J252" s="527"/>
      <c r="K252" s="17"/>
      <c r="L252" s="224"/>
      <c r="M252" s="402"/>
      <c r="N252" s="531"/>
      <c r="O252" s="531"/>
      <c r="P252" s="531"/>
      <c r="Q252" s="531"/>
      <c r="R252" s="531"/>
    </row>
    <row r="253" spans="1:18" s="1" customFormat="1" ht="13" customHeight="1">
      <c r="A253" s="17"/>
      <c r="B253" s="17"/>
      <c r="C253" s="17" t="s">
        <v>3</v>
      </c>
      <c r="D253" s="21">
        <f>Tragwerk!$M$24</f>
        <v>1.87</v>
      </c>
      <c r="E253" s="19" t="s">
        <v>7</v>
      </c>
      <c r="F253" s="17"/>
      <c r="G253" s="527" t="s">
        <v>359</v>
      </c>
      <c r="H253" s="527"/>
      <c r="I253" s="527"/>
      <c r="J253" s="527"/>
      <c r="K253" s="17"/>
      <c r="L253" s="224"/>
      <c r="M253" s="402"/>
      <c r="N253" s="531"/>
      <c r="O253" s="531"/>
      <c r="P253" s="531"/>
      <c r="Q253" s="531"/>
      <c r="R253" s="531"/>
    </row>
    <row r="254" spans="1:18" s="1" customFormat="1" ht="13" customHeight="1">
      <c r="A254" s="17"/>
      <c r="B254" s="17"/>
      <c r="C254" s="527" t="s">
        <v>64</v>
      </c>
      <c r="D254" s="21">
        <f>INDEX(Tragwerk!M25:O25,1,MATCH(Eingabe!C4,Tragwerk!M14:O14))</f>
        <v>132.08556149732618</v>
      </c>
      <c r="E254" s="19" t="s">
        <v>2</v>
      </c>
      <c r="F254" s="17"/>
      <c r="G254" s="527" t="s">
        <v>73</v>
      </c>
      <c r="H254" s="527"/>
      <c r="I254" s="527"/>
      <c r="J254" s="527"/>
      <c r="K254" s="17"/>
      <c r="L254" s="224"/>
      <c r="M254" s="402"/>
      <c r="N254" s="531"/>
      <c r="O254" s="531"/>
      <c r="P254" s="531"/>
      <c r="Q254" s="531"/>
      <c r="R254" s="531"/>
    </row>
    <row r="255" spans="1:18" s="1" customFormat="1" ht="13" customHeight="1">
      <c r="A255" s="17"/>
      <c r="B255" s="17"/>
      <c r="C255" s="527" t="s">
        <v>306</v>
      </c>
      <c r="D255" s="21">
        <f>Tragwerk!$M$60</f>
        <v>4.7057430951337125</v>
      </c>
      <c r="E255" s="19" t="s">
        <v>2</v>
      </c>
      <c r="F255" s="17"/>
      <c r="G255" s="527" t="s">
        <v>75</v>
      </c>
      <c r="H255" s="527"/>
      <c r="I255" s="527"/>
      <c r="J255" s="527"/>
      <c r="K255" s="17"/>
      <c r="L255" s="224"/>
      <c r="M255" s="402"/>
      <c r="N255" s="531"/>
      <c r="O255" s="531"/>
      <c r="P255" s="531"/>
      <c r="Q255" s="531"/>
      <c r="R255" s="531"/>
    </row>
    <row r="256" spans="1:18" s="1" customFormat="1" ht="13" customHeight="1">
      <c r="A256" s="17"/>
      <c r="B256" s="17"/>
      <c r="C256" s="25" t="s">
        <v>88</v>
      </c>
      <c r="D256" s="26">
        <f>D255/D254</f>
        <v>3.5626476064372643E-2</v>
      </c>
      <c r="E256" s="520" t="s">
        <v>7</v>
      </c>
      <c r="F256" s="27"/>
      <c r="G256" s="24" t="s">
        <v>46</v>
      </c>
      <c r="H256" s="527"/>
      <c r="I256" s="527"/>
      <c r="J256" s="527"/>
      <c r="K256" s="17"/>
      <c r="L256" s="224"/>
      <c r="M256" s="402"/>
      <c r="N256" s="531"/>
      <c r="O256" s="531"/>
      <c r="P256" s="531"/>
      <c r="Q256" s="531"/>
      <c r="R256" s="531"/>
    </row>
    <row r="257" spans="1:18" s="1" customFormat="1" ht="5.9" customHeight="1">
      <c r="A257" s="228"/>
      <c r="B257" s="240"/>
      <c r="C257" s="240"/>
      <c r="D257" s="240"/>
      <c r="E257" s="240"/>
      <c r="F257" s="240"/>
      <c r="G257" s="240"/>
      <c r="H257" s="240"/>
      <c r="I257" s="240"/>
      <c r="J257" s="242"/>
      <c r="K257" s="228"/>
      <c r="L257" s="224"/>
      <c r="M257" s="402"/>
      <c r="N257" s="531"/>
      <c r="O257" s="531"/>
      <c r="P257" s="531"/>
      <c r="Q257" s="531"/>
      <c r="R257" s="531"/>
    </row>
    <row r="258" spans="1:18" s="1" customFormat="1" ht="13" customHeight="1">
      <c r="A258" s="224"/>
      <c r="B258" s="233" t="s">
        <v>132</v>
      </c>
      <c r="C258" s="19"/>
      <c r="D258" s="19"/>
      <c r="E258" s="17"/>
      <c r="F258" s="17"/>
      <c r="G258" s="527"/>
      <c r="H258" s="527"/>
      <c r="I258" s="527"/>
      <c r="J258" s="225"/>
      <c r="K258" s="224"/>
      <c r="L258" s="224"/>
      <c r="M258" s="402"/>
      <c r="N258" s="531"/>
      <c r="O258" s="531"/>
      <c r="P258" s="531"/>
      <c r="Q258" s="531"/>
      <c r="R258" s="531"/>
    </row>
    <row r="259" spans="1:18" s="1" customFormat="1" ht="13" customHeight="1">
      <c r="A259" s="224"/>
      <c r="B259" s="233"/>
      <c r="C259" s="527" t="s">
        <v>6</v>
      </c>
      <c r="D259" s="21">
        <f>INDEX(Tragwerk!$M$27:$O$27,1,MATCH(Eingabe!$C$4,Tragwerk!$M$14:$O$14))</f>
        <v>84.446010528493645</v>
      </c>
      <c r="E259" s="19" t="s">
        <v>2</v>
      </c>
      <c r="F259" s="17"/>
      <c r="G259" s="527" t="s">
        <v>358</v>
      </c>
      <c r="H259" s="527"/>
      <c r="I259" s="527"/>
      <c r="J259" s="225"/>
      <c r="K259" s="224"/>
      <c r="L259" s="224"/>
      <c r="M259" s="402"/>
      <c r="N259" s="531"/>
      <c r="O259" s="531"/>
      <c r="P259" s="531"/>
      <c r="Q259" s="531"/>
      <c r="R259" s="531"/>
    </row>
    <row r="260" spans="1:18" s="1" customFormat="1" ht="13" customHeight="1">
      <c r="A260" s="224"/>
      <c r="B260" s="233"/>
      <c r="C260" s="234" t="s">
        <v>129</v>
      </c>
      <c r="D260" s="21">
        <f>INDEX(Tragwerk!$M$28:$O$28,1,MATCH(Eingabe!$C$4,Tragwerk!$M$14:$O$14))</f>
        <v>420</v>
      </c>
      <c r="E260" s="19" t="s">
        <v>0</v>
      </c>
      <c r="F260" s="17"/>
      <c r="G260" s="527" t="s">
        <v>1559</v>
      </c>
      <c r="H260" s="527"/>
      <c r="I260" s="527"/>
      <c r="J260" s="225"/>
      <c r="K260" s="224"/>
      <c r="L260" s="224"/>
      <c r="M260" s="402"/>
      <c r="N260" s="531"/>
      <c r="O260" s="531"/>
      <c r="P260" s="531"/>
      <c r="Q260" s="531"/>
      <c r="R260" s="531"/>
    </row>
    <row r="261" spans="1:18" s="1" customFormat="1" ht="13" customHeight="1">
      <c r="A261" s="224"/>
      <c r="B261" s="233"/>
      <c r="C261" s="234" t="s">
        <v>130</v>
      </c>
      <c r="D261" s="20">
        <f>INDEX(Tragwerk!$M$29:$O$29,1,MATCH(Eingabe!$C$4,Tragwerk!$M$14:$O$14))</f>
        <v>176400</v>
      </c>
      <c r="E261" s="19" t="s">
        <v>16</v>
      </c>
      <c r="F261" s="17"/>
      <c r="G261" s="527" t="s">
        <v>1554</v>
      </c>
      <c r="H261" s="527"/>
      <c r="I261" s="527"/>
      <c r="J261" s="225"/>
      <c r="K261" s="224"/>
      <c r="L261" s="224"/>
      <c r="M261" s="402"/>
      <c r="N261" s="531"/>
      <c r="O261" s="531"/>
      <c r="P261" s="531"/>
      <c r="Q261" s="531"/>
      <c r="R261" s="531"/>
    </row>
    <row r="262" spans="1:18" s="1" customFormat="1" ht="13" customHeight="1">
      <c r="A262" s="224"/>
      <c r="B262" s="233"/>
      <c r="C262" s="234" t="s">
        <v>131</v>
      </c>
      <c r="D262" s="20">
        <f>INDEX(Tragwerk!$M$30:$O$30,1,MATCH(Eingabe!$C$4,Tragwerk!$M$14:$O$14))</f>
        <v>142800</v>
      </c>
      <c r="E262" s="19" t="s">
        <v>16</v>
      </c>
      <c r="F262" s="17"/>
      <c r="G262" s="527" t="s">
        <v>1554</v>
      </c>
      <c r="H262" s="527"/>
      <c r="I262" s="527"/>
      <c r="J262" s="225"/>
      <c r="K262" s="224"/>
      <c r="L262" s="224"/>
      <c r="M262" s="402"/>
      <c r="N262" s="531"/>
      <c r="O262" s="531"/>
      <c r="P262" s="531"/>
      <c r="Q262" s="531"/>
      <c r="R262" s="531"/>
    </row>
    <row r="263" spans="1:18" s="1" customFormat="1" ht="13" customHeight="1">
      <c r="A263" s="224"/>
      <c r="B263" s="233"/>
      <c r="C263" s="234" t="s">
        <v>133</v>
      </c>
      <c r="D263" s="21">
        <f>INDEX(Tragwerk!$M$31:$O$31,1,MATCH(Eingabe!$C$4,Tragwerk!$M$14:$O$14))</f>
        <v>1</v>
      </c>
      <c r="E263" s="19" t="s">
        <v>7</v>
      </c>
      <c r="F263" s="17"/>
      <c r="G263" s="527" t="s">
        <v>1324</v>
      </c>
      <c r="H263" s="527"/>
      <c r="I263" s="527"/>
      <c r="J263" s="225"/>
      <c r="K263" s="224"/>
      <c r="L263" s="224"/>
      <c r="M263" s="402"/>
      <c r="N263" s="531"/>
      <c r="O263" s="531"/>
      <c r="P263" s="531"/>
      <c r="Q263" s="531"/>
      <c r="R263" s="531"/>
    </row>
    <row r="264" spans="1:18" s="1" customFormat="1" ht="13" customHeight="1">
      <c r="A264" s="224"/>
      <c r="B264" s="233"/>
      <c r="C264" s="234" t="s">
        <v>104</v>
      </c>
      <c r="D264" s="21">
        <f>INDEX(Tragwerk!$M$32:$O$32,1,MATCH(Eingabe!$C$4,Tragwerk!$M$14:$O$14))</f>
        <v>1</v>
      </c>
      <c r="E264" s="19" t="s">
        <v>7</v>
      </c>
      <c r="F264" s="17"/>
      <c r="G264" s="527" t="s">
        <v>1324</v>
      </c>
      <c r="H264" s="527"/>
      <c r="I264" s="527"/>
      <c r="J264" s="225"/>
      <c r="K264" s="224"/>
      <c r="L264" s="224"/>
      <c r="M264" s="402"/>
      <c r="N264" s="531"/>
      <c r="O264" s="531"/>
      <c r="P264" s="531"/>
      <c r="Q264" s="531"/>
      <c r="R264" s="531"/>
    </row>
    <row r="265" spans="1:18" s="1" customFormat="1" ht="13" customHeight="1">
      <c r="A265" s="224"/>
      <c r="B265" s="233"/>
      <c r="C265" s="234" t="s">
        <v>110</v>
      </c>
      <c r="D265" s="19">
        <f>INDEX(Tragwerk!$M$33:$O$33,1,MATCH(Eingabe!$C$4,Tragwerk!$M$14:$O$14))</f>
        <v>1.04</v>
      </c>
      <c r="E265" s="19" t="s">
        <v>7</v>
      </c>
      <c r="F265" s="17"/>
      <c r="G265" s="527" t="s">
        <v>360</v>
      </c>
      <c r="H265" s="527"/>
      <c r="I265" s="527"/>
      <c r="J265" s="225"/>
      <c r="K265" s="224"/>
      <c r="L265" s="224"/>
      <c r="M265" s="402"/>
      <c r="N265" s="531"/>
      <c r="O265" s="531"/>
      <c r="P265" s="531"/>
      <c r="Q265" s="531"/>
      <c r="R265" s="531"/>
    </row>
    <row r="266" spans="1:18" s="1" customFormat="1" ht="13" customHeight="1">
      <c r="A266" s="224"/>
      <c r="B266" s="233"/>
      <c r="C266" s="234" t="s">
        <v>111</v>
      </c>
      <c r="D266" s="19">
        <f>INDEX(Tragwerk!$M$34:$O$34,1,MATCH(Eingabe!$C$4,Tragwerk!$M$14:$O$14))</f>
        <v>1.07</v>
      </c>
      <c r="E266" s="19" t="s">
        <v>7</v>
      </c>
      <c r="F266" s="17"/>
      <c r="G266" s="527" t="s">
        <v>360</v>
      </c>
      <c r="H266" s="527"/>
      <c r="I266" s="527"/>
      <c r="J266" s="225"/>
      <c r="K266" s="224"/>
      <c r="L266" s="224"/>
      <c r="M266" s="402"/>
      <c r="N266" s="531"/>
      <c r="O266" s="531"/>
      <c r="P266" s="531"/>
      <c r="Q266" s="531"/>
      <c r="R266" s="531"/>
    </row>
    <row r="267" spans="1:18" s="1" customFormat="1" ht="13" customHeight="1">
      <c r="A267" s="224"/>
      <c r="B267" s="233"/>
      <c r="C267" s="234" t="s">
        <v>112</v>
      </c>
      <c r="D267" s="19">
        <f>INDEX(Tragwerk!$M$35:$O$35,1,MATCH(Eingabe!$C$4,Tragwerk!$M$14:$O$14))</f>
        <v>1.0900000000000001</v>
      </c>
      <c r="E267" s="19" t="s">
        <v>7</v>
      </c>
      <c r="F267" s="17"/>
      <c r="G267" s="527" t="s">
        <v>360</v>
      </c>
      <c r="H267" s="527"/>
      <c r="I267" s="527"/>
      <c r="J267" s="225"/>
      <c r="K267" s="224"/>
      <c r="L267" s="224"/>
      <c r="M267" s="402"/>
      <c r="N267" s="531"/>
      <c r="O267" s="531"/>
      <c r="P267" s="531"/>
      <c r="Q267" s="531"/>
      <c r="R267" s="531"/>
    </row>
    <row r="268" spans="1:18" s="1" customFormat="1" ht="13" customHeight="1">
      <c r="A268" s="224"/>
      <c r="B268" s="233"/>
      <c r="C268" s="234" t="s">
        <v>108</v>
      </c>
      <c r="D268" s="19">
        <f>Tragwerk!$M$38</f>
        <v>1.2</v>
      </c>
      <c r="E268" s="19" t="s">
        <v>7</v>
      </c>
      <c r="F268" s="17"/>
      <c r="G268" s="527" t="s">
        <v>1324</v>
      </c>
      <c r="H268" s="527"/>
      <c r="I268" s="527"/>
      <c r="J268" s="225"/>
      <c r="K268" s="224"/>
      <c r="L268" s="224"/>
      <c r="M268" s="402"/>
      <c r="N268" s="531"/>
      <c r="O268" s="531"/>
      <c r="P268" s="531"/>
      <c r="Q268" s="531"/>
      <c r="R268" s="531"/>
    </row>
    <row r="269" spans="1:18" s="1" customFormat="1" ht="13" customHeight="1">
      <c r="A269" s="224"/>
      <c r="B269" s="233"/>
      <c r="C269" s="234" t="s">
        <v>123</v>
      </c>
      <c r="D269" s="21">
        <f>INDEX(Tragwerk!M39:O39,1,MATCH(Eingabe!C4,Tragwerk!M14:O14))</f>
        <v>59.246248656498729</v>
      </c>
      <c r="E269" s="19" t="s">
        <v>2</v>
      </c>
      <c r="F269" s="17"/>
      <c r="G269" s="527" t="s">
        <v>73</v>
      </c>
      <c r="H269" s="527"/>
      <c r="I269" s="527"/>
      <c r="J269" s="225"/>
      <c r="K269" s="224"/>
      <c r="L269" s="224"/>
      <c r="M269" s="402"/>
      <c r="N269" s="531"/>
      <c r="O269" s="531"/>
      <c r="P269" s="531"/>
      <c r="Q269" s="531"/>
      <c r="R269" s="531"/>
    </row>
    <row r="270" spans="1:18" s="1" customFormat="1" ht="13" customHeight="1">
      <c r="A270" s="224"/>
      <c r="B270" s="233"/>
      <c r="C270" s="527" t="s">
        <v>306</v>
      </c>
      <c r="D270" s="21">
        <f>Tragwerk!$M$60</f>
        <v>4.7057430951337125</v>
      </c>
      <c r="E270" s="19" t="s">
        <v>2</v>
      </c>
      <c r="F270" s="17"/>
      <c r="G270" s="527" t="s">
        <v>75</v>
      </c>
      <c r="H270" s="527"/>
      <c r="I270" s="527"/>
      <c r="J270" s="225"/>
      <c r="K270" s="224"/>
      <c r="L270" s="224"/>
      <c r="M270" s="402"/>
      <c r="N270" s="531"/>
      <c r="O270" s="531"/>
      <c r="P270" s="531"/>
      <c r="Q270" s="531"/>
      <c r="R270" s="531"/>
    </row>
    <row r="271" spans="1:18" s="1" customFormat="1" ht="13" customHeight="1">
      <c r="A271" s="224"/>
      <c r="B271" s="17"/>
      <c r="C271" s="25" t="s">
        <v>122</v>
      </c>
      <c r="D271" s="26">
        <f>D270/D269</f>
        <v>7.9426853207482176E-2</v>
      </c>
      <c r="E271" s="520" t="s">
        <v>7</v>
      </c>
      <c r="F271" s="27"/>
      <c r="G271" s="24" t="s">
        <v>46</v>
      </c>
      <c r="H271" s="527"/>
      <c r="I271" s="527"/>
      <c r="J271" s="225"/>
      <c r="K271" s="224"/>
      <c r="L271" s="224"/>
      <c r="M271" s="402"/>
      <c r="N271" s="531"/>
      <c r="O271" s="531"/>
      <c r="P271" s="531"/>
      <c r="Q271" s="531"/>
      <c r="R271" s="531"/>
    </row>
    <row r="272" spans="1:18" s="1" customFormat="1" ht="5.9" customHeight="1">
      <c r="A272" s="228"/>
      <c r="B272" s="240"/>
      <c r="C272" s="240"/>
      <c r="D272" s="240"/>
      <c r="E272" s="240"/>
      <c r="F272" s="240"/>
      <c r="G272" s="240"/>
      <c r="H272" s="240"/>
      <c r="I272" s="240"/>
      <c r="J272" s="242"/>
      <c r="K272" s="228"/>
      <c r="L272" s="224"/>
      <c r="M272" s="402"/>
      <c r="N272" s="531"/>
      <c r="O272" s="531"/>
      <c r="P272" s="531"/>
      <c r="Q272" s="531"/>
      <c r="R272" s="531"/>
    </row>
    <row r="273" spans="1:18" s="1" customFormat="1" ht="13" customHeight="1">
      <c r="A273" s="224"/>
      <c r="B273" s="233" t="s">
        <v>8</v>
      </c>
      <c r="C273" s="19"/>
      <c r="D273" s="19"/>
      <c r="E273" s="17"/>
      <c r="F273" s="17"/>
      <c r="G273" s="527"/>
      <c r="H273" s="527"/>
      <c r="I273" s="527"/>
      <c r="J273" s="225"/>
      <c r="K273" s="224"/>
      <c r="L273" s="224"/>
      <c r="M273" s="402"/>
      <c r="N273" s="531"/>
      <c r="O273" s="531"/>
      <c r="P273" s="531"/>
      <c r="Q273" s="531"/>
      <c r="R273" s="531"/>
    </row>
    <row r="274" spans="1:18" s="1" customFormat="1" ht="13" customHeight="1">
      <c r="A274" s="224"/>
      <c r="B274" s="17"/>
      <c r="C274" s="527" t="s">
        <v>78</v>
      </c>
      <c r="D274" s="21">
        <f>INDEX(Tragwerk!M41:O41,1,MATCH(Eingabe!$C$4,Tragwerk!$M$14:$O$14))</f>
        <v>80.007519646593167</v>
      </c>
      <c r="E274" s="19" t="s">
        <v>2</v>
      </c>
      <c r="F274" s="17"/>
      <c r="G274" s="527" t="s">
        <v>1324</v>
      </c>
      <c r="H274" s="527"/>
      <c r="I274" s="527"/>
      <c r="J274" s="225"/>
      <c r="K274" s="224"/>
      <c r="L274" s="224"/>
      <c r="M274" s="402"/>
      <c r="N274" s="531"/>
      <c r="O274" s="531"/>
      <c r="P274" s="531"/>
      <c r="Q274" s="531"/>
      <c r="R274" s="531"/>
    </row>
    <row r="275" spans="1:18" s="1" customFormat="1" ht="13" customHeight="1">
      <c r="A275" s="224"/>
      <c r="B275" s="17"/>
      <c r="C275" s="527" t="s">
        <v>79</v>
      </c>
      <c r="D275" s="19">
        <f>INDEX(Tragwerk!M42:O42,1,MATCH(Eingabe!$C$4,Tragwerk!$M$14:$O$14))</f>
        <v>176400</v>
      </c>
      <c r="E275" s="19" t="s">
        <v>16</v>
      </c>
      <c r="F275" s="17"/>
      <c r="G275" s="527" t="s">
        <v>1324</v>
      </c>
      <c r="H275" s="527"/>
      <c r="I275" s="527"/>
      <c r="J275" s="225"/>
      <c r="K275" s="224"/>
      <c r="L275" s="224"/>
      <c r="M275" s="402"/>
      <c r="N275" s="531"/>
      <c r="O275" s="531"/>
      <c r="P275" s="531"/>
      <c r="Q275" s="531"/>
      <c r="R275" s="531"/>
    </row>
    <row r="276" spans="1:18" s="1" customFormat="1" ht="13" customHeight="1">
      <c r="A276" s="224"/>
      <c r="B276" s="17"/>
      <c r="C276" s="527" t="s">
        <v>80</v>
      </c>
      <c r="D276" s="19">
        <f>INDEX(Tragwerk!M43:O43,1,MATCH(Eingabe!$C$4,Tragwerk!$M$14:$O$14))</f>
        <v>142800</v>
      </c>
      <c r="E276" s="19" t="s">
        <v>16</v>
      </c>
      <c r="F276" s="17"/>
      <c r="G276" s="527" t="s">
        <v>1324</v>
      </c>
      <c r="H276" s="527"/>
      <c r="I276" s="527"/>
      <c r="J276" s="225"/>
      <c r="K276" s="224"/>
      <c r="L276" s="224"/>
      <c r="M276" s="402"/>
      <c r="N276" s="531"/>
      <c r="O276" s="531"/>
      <c r="P276" s="531"/>
      <c r="Q276" s="531"/>
      <c r="R276" s="531"/>
    </row>
    <row r="277" spans="1:18" s="1" customFormat="1" ht="13" customHeight="1">
      <c r="A277" s="224"/>
      <c r="B277" s="17"/>
      <c r="C277" s="23" t="s">
        <v>81</v>
      </c>
      <c r="D277" s="21">
        <f>INDEX(Tragwerk!M44:O44,1,MATCH(Eingabe!$C$4,Tragwerk!$M$14:$O$14))</f>
        <v>1</v>
      </c>
      <c r="E277" s="19" t="s">
        <v>7</v>
      </c>
      <c r="F277" s="17"/>
      <c r="G277" s="527" t="s">
        <v>1324</v>
      </c>
      <c r="H277" s="527"/>
      <c r="I277" s="527"/>
      <c r="J277" s="225"/>
      <c r="K277" s="224"/>
      <c r="L277" s="224"/>
      <c r="M277" s="402"/>
      <c r="N277" s="531"/>
      <c r="O277" s="531"/>
      <c r="P277" s="531"/>
      <c r="Q277" s="531"/>
      <c r="R277" s="531"/>
    </row>
    <row r="278" spans="1:18" s="1" customFormat="1" ht="13" customHeight="1">
      <c r="A278" s="224"/>
      <c r="B278" s="17"/>
      <c r="C278" s="23" t="s">
        <v>82</v>
      </c>
      <c r="D278" s="21">
        <f>INDEX(Tragwerk!M45:O45,1,MATCH(Eingabe!$C$4,Tragwerk!$M$14:$O$14))</f>
        <v>1</v>
      </c>
      <c r="E278" s="19" t="s">
        <v>7</v>
      </c>
      <c r="F278" s="17"/>
      <c r="G278" s="527" t="s">
        <v>1324</v>
      </c>
      <c r="H278" s="527"/>
      <c r="I278" s="527"/>
      <c r="J278" s="225"/>
      <c r="K278" s="224"/>
      <c r="L278" s="224"/>
      <c r="M278" s="402"/>
      <c r="N278" s="531"/>
      <c r="O278" s="531"/>
      <c r="P278" s="531"/>
      <c r="Q278" s="531"/>
      <c r="R278" s="531"/>
    </row>
    <row r="279" spans="1:18" s="1" customFormat="1" ht="13" customHeight="1">
      <c r="A279" s="224"/>
      <c r="B279" s="17"/>
      <c r="C279" s="23" t="s">
        <v>83</v>
      </c>
      <c r="D279" s="21">
        <f>INDEX(Tragwerk!M46:O46,1,MATCH(Eingabe!$C$4,Tragwerk!$M$14:$O$14))</f>
        <v>1</v>
      </c>
      <c r="E279" s="19" t="s">
        <v>7</v>
      </c>
      <c r="F279" s="17"/>
      <c r="G279" s="527" t="s">
        <v>1324</v>
      </c>
      <c r="H279" s="527"/>
      <c r="I279" s="527"/>
      <c r="J279" s="225"/>
      <c r="K279" s="224"/>
      <c r="L279" s="224"/>
      <c r="M279" s="402"/>
      <c r="N279" s="531"/>
      <c r="O279" s="531"/>
      <c r="P279" s="531"/>
      <c r="Q279" s="531"/>
      <c r="R279" s="531"/>
    </row>
    <row r="280" spans="1:18" s="1" customFormat="1" ht="13" customHeight="1">
      <c r="A280" s="224"/>
      <c r="B280" s="17"/>
      <c r="C280" s="527" t="s">
        <v>77</v>
      </c>
      <c r="D280" s="21">
        <f>INDEX(Tragwerk!M48:O48,1,MATCH(Eingabe!$C$4,Tragwerk!$M$14:$O$14))</f>
        <v>64.767992094861128</v>
      </c>
      <c r="E280" s="19" t="s">
        <v>2</v>
      </c>
      <c r="F280" s="17"/>
      <c r="G280" s="527" t="s">
        <v>1324</v>
      </c>
      <c r="H280" s="527"/>
      <c r="I280" s="527"/>
      <c r="J280" s="225"/>
      <c r="K280" s="224"/>
      <c r="L280" s="224"/>
      <c r="M280" s="402"/>
      <c r="N280" s="531"/>
      <c r="O280" s="531"/>
      <c r="P280" s="531"/>
      <c r="Q280" s="531"/>
      <c r="R280" s="531"/>
    </row>
    <row r="281" spans="1:18" s="1" customFormat="1" ht="13" customHeight="1">
      <c r="A281" s="224"/>
      <c r="B281" s="17"/>
      <c r="C281" s="17" t="s">
        <v>12</v>
      </c>
      <c r="D281" s="21">
        <f>Tragwerk!$M$49</f>
        <v>1.2</v>
      </c>
      <c r="E281" s="19" t="s">
        <v>7</v>
      </c>
      <c r="F281" s="17"/>
      <c r="G281" s="527" t="s">
        <v>1324</v>
      </c>
      <c r="H281" s="527"/>
      <c r="I281" s="527"/>
      <c r="J281" s="225"/>
      <c r="K281" s="224"/>
      <c r="L281" s="224"/>
      <c r="M281" s="531"/>
      <c r="N281" s="531"/>
      <c r="O281" s="531"/>
      <c r="P281" s="531"/>
      <c r="Q281" s="531"/>
      <c r="R281" s="531"/>
    </row>
    <row r="282" spans="1:18" s="1" customFormat="1" ht="13" customHeight="1">
      <c r="A282" s="224"/>
      <c r="B282" s="17"/>
      <c r="C282" s="527" t="s">
        <v>71</v>
      </c>
      <c r="D282" s="21">
        <f>INDEX(Tragwerk!M50:O50,1,MATCH(Eingabe!$C$4,Tragwerk!$M$14:$O$14))</f>
        <v>53.973326745717607</v>
      </c>
      <c r="E282" s="19" t="s">
        <v>2</v>
      </c>
      <c r="F282" s="17"/>
      <c r="G282" s="527" t="s">
        <v>73</v>
      </c>
      <c r="H282" s="527"/>
      <c r="I282" s="527"/>
      <c r="J282" s="225"/>
      <c r="K282" s="224"/>
      <c r="L282" s="224"/>
      <c r="M282" s="531"/>
      <c r="N282" s="531"/>
      <c r="O282" s="531"/>
      <c r="P282" s="531"/>
      <c r="Q282" s="531"/>
      <c r="R282" s="531"/>
    </row>
    <row r="283" spans="1:18" s="1" customFormat="1" ht="13" customHeight="1">
      <c r="A283" s="224"/>
      <c r="B283" s="17"/>
      <c r="C283" s="527" t="s">
        <v>306</v>
      </c>
      <c r="D283" s="21">
        <f>Tragwerk!$M$60</f>
        <v>4.7057430951337125</v>
      </c>
      <c r="E283" s="19" t="s">
        <v>2</v>
      </c>
      <c r="F283" s="17"/>
      <c r="G283" s="527" t="s">
        <v>75</v>
      </c>
      <c r="H283" s="527"/>
      <c r="I283" s="527"/>
      <c r="J283" s="225"/>
      <c r="K283" s="224"/>
      <c r="L283" s="224"/>
      <c r="M283" s="531"/>
      <c r="N283" s="531"/>
      <c r="O283" s="531"/>
      <c r="P283" s="531"/>
      <c r="Q283" s="531"/>
      <c r="R283" s="531"/>
    </row>
    <row r="284" spans="1:18" s="1" customFormat="1" ht="13" customHeight="1">
      <c r="A284" s="224"/>
      <c r="B284" s="17"/>
      <c r="C284" s="25" t="s">
        <v>89</v>
      </c>
      <c r="D284" s="26">
        <f>D283/D282</f>
        <v>8.7186456326912978E-2</v>
      </c>
      <c r="E284" s="520" t="s">
        <v>7</v>
      </c>
      <c r="F284" s="27"/>
      <c r="G284" s="24" t="s">
        <v>46</v>
      </c>
      <c r="H284" s="527"/>
      <c r="I284" s="527"/>
      <c r="J284" s="225"/>
      <c r="K284" s="224"/>
      <c r="L284" s="224"/>
      <c r="M284" s="531"/>
      <c r="N284" s="531"/>
      <c r="O284" s="531"/>
      <c r="P284" s="531"/>
      <c r="Q284" s="531"/>
      <c r="R284" s="531"/>
    </row>
    <row r="285" spans="1:18" s="457" customFormat="1" ht="5.5" customHeight="1">
      <c r="A285" s="224"/>
      <c r="B285" s="17"/>
      <c r="C285" s="25"/>
      <c r="D285" s="26"/>
      <c r="E285" s="520"/>
      <c r="F285" s="27"/>
      <c r="G285" s="24"/>
      <c r="H285" s="527"/>
      <c r="I285" s="527"/>
      <c r="J285" s="225"/>
      <c r="K285" s="224"/>
      <c r="L285" s="224"/>
      <c r="M285" s="531"/>
      <c r="N285" s="531"/>
      <c r="O285" s="531"/>
      <c r="P285" s="531"/>
      <c r="Q285" s="531"/>
      <c r="R285" s="531"/>
    </row>
    <row r="286" spans="1:18" s="457" customFormat="1" ht="13" customHeight="1">
      <c r="A286" s="1032" t="s">
        <v>513</v>
      </c>
      <c r="B286" s="1032"/>
      <c r="C286" s="1032"/>
      <c r="D286" s="1032"/>
      <c r="E286" s="1032"/>
      <c r="F286" s="1032"/>
      <c r="G286" s="1032"/>
      <c r="H286" s="1032"/>
      <c r="I286" s="1032"/>
      <c r="J286" s="1032"/>
      <c r="K286" s="520"/>
      <c r="L286" s="224"/>
      <c r="M286" s="531"/>
      <c r="N286" s="531"/>
      <c r="O286" s="531"/>
      <c r="P286" s="531"/>
      <c r="Q286" s="531"/>
      <c r="R286" s="531"/>
    </row>
    <row r="287" spans="1:18" s="457" customFormat="1" ht="13" customHeight="1">
      <c r="A287" s="224"/>
      <c r="B287" s="235" t="s">
        <v>120</v>
      </c>
      <c r="C287" s="25"/>
      <c r="D287" s="26"/>
      <c r="E287" s="520"/>
      <c r="F287" s="27"/>
      <c r="G287" s="24"/>
      <c r="H287" s="527"/>
      <c r="I287" s="527"/>
      <c r="J287" s="225"/>
      <c r="K287" s="224"/>
      <c r="L287" s="224"/>
      <c r="M287" s="531"/>
      <c r="N287" s="531"/>
      <c r="O287" s="531"/>
      <c r="P287" s="531"/>
      <c r="Q287" s="531"/>
      <c r="R287" s="531"/>
    </row>
    <row r="288" spans="1:18" s="457" customFormat="1" ht="13" customHeight="1">
      <c r="A288" s="224"/>
      <c r="B288" s="17"/>
      <c r="C288" s="527" t="s">
        <v>118</v>
      </c>
      <c r="D288" s="18">
        <f>INDEX(Tragwerk!M65:O65,1,MATCH(Eingabe!$C$4,Tragwerk!$M$14:$O$14))</f>
        <v>757.99758981340312</v>
      </c>
      <c r="E288" s="19" t="s">
        <v>119</v>
      </c>
      <c r="F288" s="17"/>
      <c r="G288" s="527" t="s">
        <v>362</v>
      </c>
      <c r="H288" s="527"/>
      <c r="I288" s="527"/>
      <c r="J288" s="225"/>
      <c r="K288" s="224"/>
      <c r="L288" s="224"/>
      <c r="M288" s="531"/>
      <c r="N288" s="531"/>
      <c r="O288" s="531"/>
      <c r="P288" s="531"/>
      <c r="Q288" s="531"/>
      <c r="R288" s="531"/>
    </row>
    <row r="289" spans="1:18" s="457" customFormat="1" ht="13" customHeight="1">
      <c r="A289" s="224"/>
      <c r="B289" s="17"/>
      <c r="C289" s="17" t="s">
        <v>3</v>
      </c>
      <c r="D289" s="21">
        <f>Tragwerk!$M$66</f>
        <v>1.56</v>
      </c>
      <c r="E289" s="19" t="s">
        <v>7</v>
      </c>
      <c r="F289" s="17"/>
      <c r="G289" s="527" t="s">
        <v>359</v>
      </c>
      <c r="H289" s="527"/>
      <c r="I289" s="527"/>
      <c r="J289" s="225"/>
      <c r="K289" s="224"/>
      <c r="L289" s="224"/>
      <c r="M289" s="531"/>
      <c r="N289" s="531"/>
      <c r="O289" s="531"/>
      <c r="P289" s="531"/>
      <c r="Q289" s="531"/>
      <c r="R289" s="531"/>
    </row>
    <row r="290" spans="1:18" s="457" customFormat="1" ht="13" customHeight="1">
      <c r="A290" s="224"/>
      <c r="B290" s="17"/>
      <c r="C290" s="527" t="s">
        <v>65</v>
      </c>
      <c r="D290" s="21">
        <f>INDEX(Tragwerk!M67:O67,1,MATCH(Eingabe!$C$4,Tragwerk!$M$14:$O$14))</f>
        <v>30.368493181626725</v>
      </c>
      <c r="E290" s="19" t="s">
        <v>2</v>
      </c>
      <c r="F290" s="17"/>
      <c r="G290" s="527" t="s">
        <v>73</v>
      </c>
      <c r="H290" s="527"/>
      <c r="I290" s="527"/>
      <c r="J290" s="225"/>
      <c r="K290" s="224"/>
      <c r="L290" s="224"/>
      <c r="M290" s="531"/>
      <c r="N290" s="531"/>
      <c r="O290" s="531"/>
      <c r="P290" s="531"/>
      <c r="Q290" s="531"/>
      <c r="R290" s="531"/>
    </row>
    <row r="291" spans="1:18" s="457" customFormat="1" ht="13" customHeight="1">
      <c r="A291" s="224"/>
      <c r="B291" s="17"/>
      <c r="C291" s="527" t="s">
        <v>86</v>
      </c>
      <c r="D291" s="21">
        <f>Tragwerk!$M$68</f>
        <v>29.921271248249965</v>
      </c>
      <c r="E291" s="19" t="s">
        <v>2</v>
      </c>
      <c r="F291" s="17"/>
      <c r="G291" s="527" t="s">
        <v>75</v>
      </c>
      <c r="H291" s="527"/>
      <c r="I291" s="527"/>
      <c r="J291" s="225"/>
      <c r="K291" s="224"/>
      <c r="L291" s="224"/>
      <c r="M291" s="531"/>
      <c r="N291" s="531"/>
      <c r="O291" s="531"/>
      <c r="P291" s="531"/>
      <c r="Q291" s="531"/>
      <c r="R291" s="531"/>
    </row>
    <row r="292" spans="1:18" s="457" customFormat="1" ht="13" customHeight="1">
      <c r="A292" s="224"/>
      <c r="B292" s="17"/>
      <c r="C292" s="25" t="s">
        <v>90</v>
      </c>
      <c r="D292" s="26">
        <f>D291/D290</f>
        <v>0.98527348951092064</v>
      </c>
      <c r="E292" s="520" t="s">
        <v>7</v>
      </c>
      <c r="F292" s="27"/>
      <c r="G292" s="24" t="s">
        <v>46</v>
      </c>
      <c r="H292" s="527"/>
      <c r="I292" s="527"/>
      <c r="J292" s="225"/>
      <c r="K292" s="224"/>
      <c r="L292" s="224"/>
      <c r="M292" s="531"/>
      <c r="N292" s="531"/>
      <c r="O292" s="531"/>
      <c r="P292" s="531"/>
      <c r="Q292" s="531"/>
      <c r="R292" s="531"/>
    </row>
    <row r="293" spans="1:18" s="457" customFormat="1" ht="5.5" customHeight="1">
      <c r="A293" s="224"/>
      <c r="B293" s="17"/>
      <c r="C293" s="25"/>
      <c r="D293" s="26"/>
      <c r="E293" s="520"/>
      <c r="F293" s="27"/>
      <c r="G293" s="24"/>
      <c r="H293" s="527"/>
      <c r="I293" s="527"/>
      <c r="J293" s="225"/>
      <c r="K293" s="224"/>
      <c r="L293" s="224"/>
      <c r="M293" s="531"/>
      <c r="N293" s="531"/>
      <c r="O293" s="531"/>
      <c r="P293" s="531"/>
      <c r="Q293" s="531"/>
      <c r="R293" s="531"/>
    </row>
    <row r="294" spans="1:18" s="457" customFormat="1" ht="13" customHeight="1">
      <c r="A294" s="224"/>
      <c r="B294" s="238" t="s">
        <v>9</v>
      </c>
      <c r="C294" s="25"/>
      <c r="D294" s="26"/>
      <c r="E294" s="520"/>
      <c r="F294" s="27"/>
      <c r="G294" s="24"/>
      <c r="H294" s="527"/>
      <c r="I294" s="527"/>
      <c r="J294" s="225"/>
      <c r="K294" s="224"/>
      <c r="L294" s="224"/>
      <c r="M294" s="531"/>
      <c r="N294" s="531"/>
      <c r="O294" s="531"/>
      <c r="P294" s="531"/>
      <c r="Q294" s="531"/>
      <c r="R294" s="531"/>
    </row>
    <row r="295" spans="1:18" s="457" customFormat="1" ht="13" customHeight="1">
      <c r="A295" s="224"/>
      <c r="B295" s="17"/>
      <c r="C295" s="4" t="s">
        <v>10</v>
      </c>
      <c r="D295" s="18">
        <f>Tragwerk!$M$71</f>
        <v>2.5</v>
      </c>
      <c r="E295" s="19" t="s">
        <v>7</v>
      </c>
      <c r="F295" s="17"/>
      <c r="G295" s="17" t="s">
        <v>363</v>
      </c>
      <c r="H295" s="527"/>
      <c r="I295" s="527"/>
      <c r="J295" s="225"/>
      <c r="K295" s="224"/>
      <c r="L295" s="224"/>
      <c r="M295" s="531"/>
      <c r="N295" s="531"/>
      <c r="O295" s="531"/>
      <c r="P295" s="531"/>
      <c r="Q295" s="531"/>
      <c r="R295" s="531"/>
    </row>
    <row r="296" spans="1:18" s="457" customFormat="1" ht="13" customHeight="1">
      <c r="A296" s="224"/>
      <c r="B296" s="17"/>
      <c r="C296" s="527" t="s">
        <v>18</v>
      </c>
      <c r="D296" s="18">
        <f>INDEX(Tragwerk!M72:O72,1,MATCH(Eingabe!$C$4,Tragwerk!$M$14:$O$14))</f>
        <v>161.91998023715283</v>
      </c>
      <c r="E296" s="237" t="s">
        <v>2</v>
      </c>
      <c r="F296" s="17"/>
      <c r="G296" s="17" t="s">
        <v>1324</v>
      </c>
      <c r="H296" s="527"/>
      <c r="I296" s="527"/>
      <c r="J296" s="225"/>
      <c r="K296" s="224"/>
      <c r="L296" s="224"/>
      <c r="M296" s="531"/>
      <c r="N296" s="531"/>
      <c r="O296" s="531"/>
      <c r="P296" s="531"/>
      <c r="Q296" s="531"/>
      <c r="R296" s="531"/>
    </row>
    <row r="297" spans="1:18" s="457" customFormat="1" ht="13" customHeight="1">
      <c r="A297" s="224"/>
      <c r="B297" s="17"/>
      <c r="C297" s="17" t="s">
        <v>12</v>
      </c>
      <c r="D297" s="21">
        <f>Tragwerk!$M$73</f>
        <v>1.2</v>
      </c>
      <c r="E297" s="19" t="s">
        <v>7</v>
      </c>
      <c r="F297" s="17"/>
      <c r="G297" s="527" t="s">
        <v>1324</v>
      </c>
      <c r="H297" s="527"/>
      <c r="I297" s="527"/>
      <c r="J297" s="225"/>
      <c r="K297" s="224"/>
      <c r="L297" s="224"/>
      <c r="M297" s="531"/>
      <c r="N297" s="531"/>
      <c r="O297" s="531"/>
      <c r="P297" s="531"/>
      <c r="Q297" s="531"/>
      <c r="R297" s="531"/>
    </row>
    <row r="298" spans="1:18" s="457" customFormat="1" ht="13" customHeight="1">
      <c r="A298" s="224"/>
      <c r="B298" s="17"/>
      <c r="C298" s="17" t="s">
        <v>72</v>
      </c>
      <c r="D298" s="21">
        <f>INDEX(Tragwerk!M74:O74,1,MATCH(Eingabe!$C$4,Tragwerk!$M$14:$O$14))</f>
        <v>134.93331686429403</v>
      </c>
      <c r="E298" s="19" t="s">
        <v>2</v>
      </c>
      <c r="F298" s="17"/>
      <c r="G298" s="527" t="s">
        <v>73</v>
      </c>
      <c r="H298" s="527"/>
      <c r="I298" s="527"/>
      <c r="J298" s="225"/>
      <c r="K298" s="224"/>
      <c r="L298" s="224"/>
      <c r="M298" s="531"/>
      <c r="N298" s="531"/>
      <c r="O298" s="531"/>
      <c r="P298" s="531"/>
      <c r="Q298" s="531"/>
      <c r="R298" s="531"/>
    </row>
    <row r="299" spans="1:18" s="457" customFormat="1" ht="13" customHeight="1">
      <c r="A299" s="224"/>
      <c r="B299" s="17"/>
      <c r="C299" s="527" t="s">
        <v>307</v>
      </c>
      <c r="D299" s="18">
        <f>Tragwerk!$M$68</f>
        <v>29.921271248249965</v>
      </c>
      <c r="E299" s="19" t="s">
        <v>2</v>
      </c>
      <c r="F299" s="17"/>
      <c r="G299" s="527" t="s">
        <v>75</v>
      </c>
      <c r="H299" s="527"/>
      <c r="I299" s="527"/>
      <c r="J299" s="225"/>
      <c r="K299" s="224"/>
      <c r="L299" s="224"/>
      <c r="M299" s="531"/>
      <c r="N299" s="531"/>
      <c r="O299" s="531"/>
      <c r="P299" s="531"/>
      <c r="Q299" s="531"/>
      <c r="R299" s="531"/>
    </row>
    <row r="300" spans="1:18" s="457" customFormat="1" ht="13" customHeight="1">
      <c r="A300" s="224"/>
      <c r="B300" s="17"/>
      <c r="C300" s="25" t="s">
        <v>91</v>
      </c>
      <c r="D300" s="26">
        <f>D299/D298</f>
        <v>0.22174857880609702</v>
      </c>
      <c r="E300" s="520" t="s">
        <v>7</v>
      </c>
      <c r="F300" s="27"/>
      <c r="G300" s="24" t="s">
        <v>46</v>
      </c>
      <c r="H300" s="527"/>
      <c r="I300" s="527"/>
      <c r="J300" s="225"/>
      <c r="K300" s="224"/>
      <c r="L300" s="224"/>
      <c r="M300" s="531"/>
      <c r="N300" s="531"/>
      <c r="O300" s="531"/>
      <c r="P300" s="531"/>
      <c r="Q300" s="531"/>
      <c r="R300" s="531"/>
    </row>
    <row r="301" spans="1:18" s="457" customFormat="1" ht="5.5" customHeight="1">
      <c r="A301" s="224"/>
      <c r="B301" s="17"/>
      <c r="C301" s="25"/>
      <c r="D301" s="26"/>
      <c r="E301" s="520"/>
      <c r="F301" s="27"/>
      <c r="G301" s="24"/>
      <c r="H301" s="527"/>
      <c r="I301" s="527"/>
      <c r="J301" s="225"/>
      <c r="K301" s="224"/>
      <c r="L301" s="224"/>
      <c r="M301" s="531"/>
      <c r="N301" s="531"/>
      <c r="O301" s="531"/>
      <c r="P301" s="531"/>
      <c r="Q301" s="531"/>
      <c r="R301" s="531"/>
    </row>
    <row r="302" spans="1:18" s="457" customFormat="1" ht="13" customHeight="1">
      <c r="A302" s="224"/>
      <c r="B302" s="238" t="s">
        <v>11</v>
      </c>
      <c r="C302" s="25"/>
      <c r="D302" s="26"/>
      <c r="E302" s="520"/>
      <c r="F302" s="27"/>
      <c r="G302" s="24"/>
      <c r="H302" s="527"/>
      <c r="I302" s="527"/>
      <c r="J302" s="225"/>
      <c r="K302" s="224"/>
      <c r="L302" s="224"/>
      <c r="M302" s="531"/>
      <c r="N302" s="531"/>
      <c r="O302" s="531"/>
      <c r="P302" s="531"/>
      <c r="Q302" s="531"/>
      <c r="R302" s="531"/>
    </row>
    <row r="303" spans="1:18" s="457" customFormat="1" ht="13" customHeight="1">
      <c r="A303" s="224"/>
      <c r="B303" s="238"/>
      <c r="C303" s="234" t="s">
        <v>21</v>
      </c>
      <c r="D303" s="450">
        <f>INDEX(Tragwerk!M76:O76,1,MATCH(Eingabe!$C$4,Tragwerk!$B$14:$D$14))</f>
        <v>3.4156502553198659E-2</v>
      </c>
      <c r="E303" s="19" t="s">
        <v>7</v>
      </c>
      <c r="F303" s="453"/>
      <c r="G303" s="527" t="s">
        <v>1324</v>
      </c>
      <c r="H303" s="527"/>
      <c r="I303" s="527"/>
      <c r="J303" s="225"/>
      <c r="K303" s="224"/>
      <c r="L303" s="224"/>
      <c r="M303" s="531"/>
      <c r="N303" s="531"/>
      <c r="O303" s="531"/>
      <c r="P303" s="531"/>
      <c r="Q303" s="531"/>
      <c r="R303" s="531"/>
    </row>
    <row r="304" spans="1:18" s="457" customFormat="1" ht="13" customHeight="1">
      <c r="A304" s="224"/>
      <c r="B304" s="238"/>
      <c r="C304" s="234" t="s">
        <v>134</v>
      </c>
      <c r="D304" s="450">
        <f>INDEX(Tragwerk!M77:O77,1,MATCH(Eingabe!$C$4,Tragwerk!$B$14:$D$14))</f>
        <v>4.573050519273264E-2</v>
      </c>
      <c r="E304" s="19" t="s">
        <v>7</v>
      </c>
      <c r="F304" s="453"/>
      <c r="G304" s="527" t="s">
        <v>1324</v>
      </c>
      <c r="H304" s="527"/>
      <c r="I304" s="527"/>
      <c r="J304" s="225"/>
      <c r="K304" s="224"/>
      <c r="L304" s="224"/>
      <c r="M304" s="531"/>
      <c r="N304" s="531"/>
      <c r="O304" s="531"/>
      <c r="P304" s="531"/>
      <c r="Q304" s="531"/>
      <c r="R304" s="531"/>
    </row>
    <row r="305" spans="1:18" s="457" customFormat="1" ht="13" customHeight="1">
      <c r="A305" s="224"/>
      <c r="B305" s="238"/>
      <c r="C305" s="234" t="s">
        <v>481</v>
      </c>
      <c r="D305" s="18">
        <f>INDEX(Tragwerk!M78:O78,1,MATCH(Eingabe!$C$4,Tragwerk!$B$14:$D$14))</f>
        <v>662.3899818033774</v>
      </c>
      <c r="E305" s="19" t="s">
        <v>2</v>
      </c>
      <c r="F305" s="453"/>
      <c r="G305" s="527" t="s">
        <v>1324</v>
      </c>
      <c r="H305" s="527"/>
      <c r="I305" s="527"/>
      <c r="J305" s="225"/>
      <c r="K305" s="224"/>
      <c r="L305" s="224"/>
      <c r="M305" s="531"/>
      <c r="N305" s="531"/>
      <c r="O305" s="531"/>
      <c r="P305" s="531"/>
      <c r="Q305" s="531"/>
      <c r="R305" s="531"/>
    </row>
    <row r="306" spans="1:18" s="457" customFormat="1" ht="13" customHeight="1">
      <c r="A306" s="224"/>
      <c r="B306" s="238"/>
      <c r="C306" s="234" t="s">
        <v>482</v>
      </c>
      <c r="D306" s="20">
        <f>INDEX(Tragwerk!M79:O79,1,MATCH(Eingabe!$C$4,Tragwerk!$B$14:$D$14))</f>
        <v>6480000</v>
      </c>
      <c r="E306" s="19" t="s">
        <v>16</v>
      </c>
      <c r="F306" s="453"/>
      <c r="G306" s="527" t="s">
        <v>1324</v>
      </c>
      <c r="H306" s="527"/>
      <c r="I306" s="527"/>
      <c r="J306" s="225"/>
      <c r="K306" s="224"/>
      <c r="L306" s="224"/>
      <c r="M306" s="531"/>
      <c r="N306" s="531"/>
      <c r="O306" s="531"/>
      <c r="P306" s="531"/>
      <c r="Q306" s="531"/>
      <c r="R306" s="531"/>
    </row>
    <row r="307" spans="1:18" s="457" customFormat="1" ht="13" customHeight="1">
      <c r="A307" s="224"/>
      <c r="B307" s="238"/>
      <c r="C307" s="234" t="s">
        <v>483</v>
      </c>
      <c r="D307" s="20">
        <f>INDEX(Tragwerk!M80:O80,1,MATCH(Eingabe!$C$4,Tragwerk!$B$14:$D$14))</f>
        <v>720000</v>
      </c>
      <c r="E307" s="19" t="s">
        <v>16</v>
      </c>
      <c r="F307" s="453"/>
      <c r="G307" s="527" t="s">
        <v>1324</v>
      </c>
      <c r="H307" s="527"/>
      <c r="I307" s="527"/>
      <c r="J307" s="225"/>
      <c r="K307" s="224"/>
      <c r="L307" s="224"/>
      <c r="M307" s="531"/>
      <c r="N307" s="531"/>
      <c r="O307" s="531"/>
      <c r="P307" s="531"/>
      <c r="Q307" s="531"/>
      <c r="R307" s="531"/>
    </row>
    <row r="308" spans="1:18" s="457" customFormat="1" ht="13" customHeight="1">
      <c r="A308" s="224"/>
      <c r="B308" s="238"/>
      <c r="C308" s="234" t="s">
        <v>485</v>
      </c>
      <c r="D308" s="21">
        <f>INDEX(Tragwerk!M82:O82,1,MATCH(Eingabe!$C$4,Tragwerk!$B$14:$D$14))</f>
        <v>3</v>
      </c>
      <c r="E308" s="19" t="s">
        <v>7</v>
      </c>
      <c r="F308" s="453"/>
      <c r="G308" s="527" t="s">
        <v>1324</v>
      </c>
      <c r="H308" s="527"/>
      <c r="I308" s="527"/>
      <c r="J308" s="225"/>
      <c r="K308" s="224"/>
      <c r="L308" s="224"/>
      <c r="M308" s="531"/>
      <c r="N308" s="531"/>
      <c r="O308" s="531"/>
      <c r="P308" s="531"/>
      <c r="Q308" s="531"/>
      <c r="R308" s="531"/>
    </row>
    <row r="309" spans="1:18" s="457" customFormat="1" ht="13" customHeight="1">
      <c r="A309" s="224"/>
      <c r="B309" s="238"/>
      <c r="C309" s="234" t="s">
        <v>488</v>
      </c>
      <c r="D309" s="21">
        <f>Tragwerk!M85</f>
        <v>1.2</v>
      </c>
      <c r="E309" s="19" t="s">
        <v>7</v>
      </c>
      <c r="F309" s="453"/>
      <c r="G309" s="527" t="s">
        <v>1324</v>
      </c>
      <c r="H309" s="527"/>
      <c r="I309" s="527"/>
      <c r="J309" s="225"/>
      <c r="K309" s="224"/>
      <c r="L309" s="224"/>
      <c r="M309" s="531"/>
      <c r="N309" s="531"/>
      <c r="O309" s="531"/>
      <c r="P309" s="531"/>
      <c r="Q309" s="531"/>
      <c r="R309" s="531"/>
    </row>
    <row r="310" spans="1:18" s="457" customFormat="1" ht="13" customHeight="1">
      <c r="A310" s="224"/>
      <c r="B310" s="238"/>
      <c r="C310" s="234" t="s">
        <v>489</v>
      </c>
      <c r="D310" s="21">
        <f>INDEX(Tragwerk!M86:O86,1,MATCH(Eingabe!$C$4,Tragwerk!$B$14:$D$14))</f>
        <v>264.95599272135092</v>
      </c>
      <c r="E310" s="19" t="s">
        <v>2</v>
      </c>
      <c r="F310" s="453"/>
      <c r="G310" s="527" t="s">
        <v>1324</v>
      </c>
      <c r="H310" s="527"/>
      <c r="I310" s="527"/>
      <c r="J310" s="225"/>
      <c r="K310" s="224"/>
      <c r="L310" s="224"/>
      <c r="M310" s="531"/>
      <c r="N310" s="531"/>
      <c r="O310" s="531"/>
      <c r="P310" s="531"/>
      <c r="Q310" s="531"/>
      <c r="R310" s="531"/>
    </row>
    <row r="311" spans="1:18" s="457" customFormat="1" ht="13" customHeight="1">
      <c r="A311" s="224"/>
      <c r="B311" s="238"/>
      <c r="C311" s="234" t="s">
        <v>12</v>
      </c>
      <c r="D311" s="21">
        <f>Tragwerk!M87</f>
        <v>1.2</v>
      </c>
      <c r="E311" s="19" t="s">
        <v>7</v>
      </c>
      <c r="F311" s="453"/>
      <c r="G311" s="527" t="s">
        <v>1324</v>
      </c>
      <c r="H311" s="527"/>
      <c r="I311" s="527"/>
      <c r="J311" s="225"/>
      <c r="K311" s="224"/>
      <c r="L311" s="224"/>
      <c r="M311" s="531"/>
      <c r="N311" s="531"/>
      <c r="O311" s="531"/>
      <c r="P311" s="531"/>
      <c r="Q311" s="531"/>
      <c r="R311" s="531"/>
    </row>
    <row r="312" spans="1:18" s="457" customFormat="1" ht="13" customHeight="1">
      <c r="A312" s="224"/>
      <c r="B312" s="238"/>
      <c r="C312" s="234" t="s">
        <v>507</v>
      </c>
      <c r="D312" s="21">
        <f>INDEX(Tragwerk!M88:O88,1,MATCH(Eingabe!$C$4,Tragwerk!$B$14:$D$14))</f>
        <v>220.79666060112578</v>
      </c>
      <c r="E312" s="19" t="s">
        <v>2</v>
      </c>
      <c r="F312" s="453"/>
      <c r="G312" s="527" t="s">
        <v>73</v>
      </c>
      <c r="H312" s="527"/>
      <c r="I312" s="527"/>
      <c r="J312" s="225"/>
      <c r="K312" s="224"/>
      <c r="L312" s="224"/>
      <c r="M312" s="531"/>
      <c r="N312" s="531"/>
      <c r="O312" s="531"/>
      <c r="P312" s="531"/>
      <c r="Q312" s="531"/>
      <c r="R312" s="531"/>
    </row>
    <row r="313" spans="1:18" s="457" customFormat="1" ht="13" customHeight="1">
      <c r="A313" s="224"/>
      <c r="B313" s="17"/>
      <c r="C313" s="527" t="s">
        <v>303</v>
      </c>
      <c r="D313" s="21">
        <f>Tragwerk!M91</f>
        <v>59.842542496499931</v>
      </c>
      <c r="E313" s="19" t="s">
        <v>2</v>
      </c>
      <c r="F313" s="453"/>
      <c r="G313" s="527" t="s">
        <v>75</v>
      </c>
      <c r="H313" s="527"/>
      <c r="I313" s="527"/>
      <c r="J313" s="225"/>
      <c r="K313" s="224"/>
      <c r="L313" s="224"/>
      <c r="M313" s="531"/>
      <c r="N313" s="531"/>
      <c r="O313" s="531"/>
      <c r="P313" s="531"/>
      <c r="Q313" s="531"/>
      <c r="R313" s="531"/>
    </row>
    <row r="314" spans="1:18" s="457" customFormat="1" ht="13" customHeight="1">
      <c r="A314" s="224"/>
      <c r="B314" s="17"/>
      <c r="C314" s="25" t="s">
        <v>508</v>
      </c>
      <c r="D314" s="26">
        <f>D313/D312</f>
        <v>0.27103010676690825</v>
      </c>
      <c r="E314" s="520" t="s">
        <v>7</v>
      </c>
      <c r="F314" s="453"/>
      <c r="G314" s="24" t="s">
        <v>46</v>
      </c>
      <c r="H314" s="527"/>
      <c r="I314" s="527"/>
      <c r="J314" s="225"/>
      <c r="K314" s="224"/>
      <c r="L314" s="224"/>
      <c r="M314" s="531"/>
      <c r="N314" s="531"/>
      <c r="O314" s="531"/>
      <c r="P314" s="531"/>
      <c r="Q314" s="531"/>
      <c r="R314" s="531"/>
    </row>
    <row r="315" spans="1:18" s="457" customFormat="1" ht="5.5" customHeight="1">
      <c r="A315" s="224"/>
      <c r="B315" s="17"/>
      <c r="C315" s="25"/>
      <c r="D315" s="26"/>
      <c r="E315" s="520"/>
      <c r="F315" s="27"/>
      <c r="G315" s="24"/>
      <c r="H315" s="527"/>
      <c r="I315" s="527"/>
      <c r="J315" s="225"/>
      <c r="K315" s="224"/>
      <c r="L315" s="224"/>
      <c r="M315" s="531"/>
      <c r="N315" s="531"/>
      <c r="O315" s="531"/>
      <c r="P315" s="531"/>
      <c r="Q315" s="531"/>
      <c r="R315" s="531"/>
    </row>
    <row r="316" spans="1:18" s="457" customFormat="1" ht="13" customHeight="1">
      <c r="A316" s="1032" t="s">
        <v>518</v>
      </c>
      <c r="B316" s="1032"/>
      <c r="C316" s="1032"/>
      <c r="D316" s="1032"/>
      <c r="E316" s="1032"/>
      <c r="F316" s="1032"/>
      <c r="G316" s="1032"/>
      <c r="H316" s="1032"/>
      <c r="I316" s="1032"/>
      <c r="J316" s="1032"/>
      <c r="K316" s="520"/>
      <c r="L316" s="224"/>
      <c r="M316" s="531"/>
      <c r="N316" s="531"/>
      <c r="O316" s="531"/>
      <c r="P316" s="531"/>
      <c r="Q316" s="531"/>
      <c r="R316" s="531"/>
    </row>
    <row r="317" spans="1:18" s="1" customFormat="1" ht="5.5" customHeight="1">
      <c r="A317" s="224"/>
      <c r="B317" s="224"/>
      <c r="C317" s="231"/>
      <c r="D317" s="229"/>
      <c r="E317" s="227"/>
      <c r="F317" s="224"/>
      <c r="G317" s="225"/>
      <c r="H317" s="230"/>
      <c r="I317" s="224"/>
      <c r="J317" s="224"/>
      <c r="K317" s="224"/>
      <c r="L317" s="224"/>
      <c r="M317" s="531"/>
      <c r="N317" s="531"/>
      <c r="O317" s="531"/>
      <c r="P317" s="531"/>
      <c r="Q317" s="531"/>
      <c r="R317" s="531"/>
    </row>
    <row r="318" spans="1:18" s="1" customFormat="1" ht="13" customHeight="1">
      <c r="A318" s="224"/>
      <c r="B318" s="17"/>
      <c r="C318" s="23" t="s">
        <v>85</v>
      </c>
      <c r="D318" s="21">
        <f>INDEX(Tragwerk!M96:O96,1,MATCH(Eingabe!$C$4,Tragwerk!$M$14:$O$14))</f>
        <v>8.7186456326912978E-2</v>
      </c>
      <c r="E318" s="19" t="s">
        <v>7</v>
      </c>
      <c r="F318" s="17"/>
      <c r="G318" s="527" t="s">
        <v>515</v>
      </c>
      <c r="H318" s="71"/>
      <c r="I318" s="27"/>
      <c r="J318" s="224"/>
      <c r="K318" s="224"/>
      <c r="L318" s="224"/>
      <c r="M318" s="531"/>
      <c r="N318" s="531"/>
      <c r="O318" s="531"/>
      <c r="P318" s="531"/>
      <c r="Q318" s="531"/>
      <c r="R318" s="531"/>
    </row>
    <row r="319" spans="1:18" s="457" customFormat="1" ht="13" customHeight="1">
      <c r="A319" s="224"/>
      <c r="B319" s="17"/>
      <c r="C319" s="23" t="s">
        <v>87</v>
      </c>
      <c r="D319" s="21">
        <f>INDEX(Tragwerk!M97:O97,1,MATCH(Eingabe!$C$4,Tragwerk!$M$14:$O$14))</f>
        <v>0.98527348951092064</v>
      </c>
      <c r="E319" s="19" t="s">
        <v>7</v>
      </c>
      <c r="F319" s="17"/>
      <c r="G319" s="527" t="s">
        <v>519</v>
      </c>
      <c r="H319" s="71"/>
      <c r="I319" s="27"/>
      <c r="J319" s="224"/>
      <c r="K319" s="224"/>
      <c r="L319" s="224"/>
      <c r="M319" s="531"/>
      <c r="N319" s="531"/>
      <c r="O319" s="531"/>
      <c r="P319" s="531"/>
      <c r="Q319" s="531"/>
      <c r="R319" s="531"/>
    </row>
    <row r="320" spans="1:18" s="457" customFormat="1" ht="2.2999999999999998" customHeight="1">
      <c r="A320" s="224"/>
      <c r="B320" s="17"/>
      <c r="C320" s="23"/>
      <c r="D320" s="18"/>
      <c r="E320" s="19"/>
      <c r="F320" s="17"/>
      <c r="G320" s="17"/>
      <c r="H320" s="71"/>
      <c r="I320" s="27"/>
      <c r="J320" s="224"/>
      <c r="K320" s="224"/>
      <c r="L320" s="224"/>
      <c r="M320" s="531"/>
      <c r="N320" s="531"/>
      <c r="O320" s="531"/>
      <c r="P320" s="531"/>
      <c r="Q320" s="531"/>
      <c r="R320" s="531"/>
    </row>
    <row r="321" spans="1:18" s="457" customFormat="1" ht="13" customHeight="1">
      <c r="A321" s="224"/>
      <c r="B321" s="17"/>
      <c r="C321" s="25" t="s">
        <v>549</v>
      </c>
      <c r="D321" s="26">
        <f>INDEX(Tragwerk!M99:O99,1,MATCH(Eingabe!$C$4,Tragwerk!$M$14:$O$14))</f>
        <v>0.89371662153152809</v>
      </c>
      <c r="E321" s="520" t="s">
        <v>7</v>
      </c>
      <c r="F321" s="27"/>
      <c r="G321" s="27" t="s">
        <v>1324</v>
      </c>
      <c r="H321" s="71"/>
      <c r="I321" s="27"/>
      <c r="J321" s="224"/>
      <c r="K321" s="224"/>
      <c r="L321" s="224"/>
      <c r="M321" s="531"/>
      <c r="N321" s="531"/>
      <c r="O321" s="531"/>
      <c r="P321" s="531"/>
      <c r="Q321" s="531"/>
      <c r="R321" s="531"/>
    </row>
    <row r="322" spans="1:18" s="1" customFormat="1" ht="5.5" customHeight="1">
      <c r="A322" s="224"/>
      <c r="B322" s="224"/>
      <c r="C322" s="231"/>
      <c r="D322" s="229"/>
      <c r="E322" s="227"/>
      <c r="F322" s="224"/>
      <c r="G322" s="225"/>
      <c r="H322" s="230"/>
      <c r="I322" s="224"/>
      <c r="J322" s="224"/>
      <c r="K322" s="224"/>
      <c r="L322" s="224"/>
      <c r="M322" s="531"/>
      <c r="N322" s="531"/>
      <c r="O322" s="531"/>
      <c r="P322" s="531"/>
      <c r="Q322" s="531"/>
      <c r="R322" s="531"/>
    </row>
    <row r="323" spans="1:18" s="1" customFormat="1" ht="13" customHeight="1">
      <c r="A323" s="1033" t="s">
        <v>309</v>
      </c>
      <c r="B323" s="1033"/>
      <c r="C323" s="1033"/>
      <c r="D323" s="1033"/>
      <c r="E323" s="1033"/>
      <c r="F323" s="1033"/>
      <c r="G323" s="1033"/>
      <c r="H323" s="1033"/>
      <c r="I323" s="1033"/>
      <c r="J323" s="1033"/>
      <c r="K323" s="502"/>
      <c r="L323" s="224"/>
      <c r="M323" s="531"/>
      <c r="N323" s="531"/>
      <c r="O323" s="531"/>
      <c r="P323" s="531"/>
      <c r="Q323" s="531"/>
      <c r="R323" s="531"/>
    </row>
    <row r="324" spans="1:18" s="1" customFormat="1" ht="5.5" customHeight="1">
      <c r="A324" s="228"/>
      <c r="B324" s="242"/>
      <c r="C324" s="242"/>
      <c r="D324" s="242"/>
      <c r="E324" s="242"/>
      <c r="F324" s="242"/>
      <c r="G324" s="242"/>
      <c r="H324" s="242"/>
      <c r="I324" s="242"/>
      <c r="J324" s="242"/>
      <c r="K324" s="228"/>
      <c r="L324" s="224"/>
      <c r="M324" s="531"/>
      <c r="N324" s="531"/>
      <c r="O324" s="531"/>
      <c r="P324" s="531"/>
      <c r="Q324" s="531"/>
      <c r="R324" s="531"/>
    </row>
    <row r="325" spans="1:18" s="1" customFormat="1" ht="13" customHeight="1">
      <c r="A325" s="1032" t="s">
        <v>514</v>
      </c>
      <c r="B325" s="1032"/>
      <c r="C325" s="1032"/>
      <c r="D325" s="1032"/>
      <c r="E325" s="1032"/>
      <c r="F325" s="1032"/>
      <c r="G325" s="1032"/>
      <c r="H325" s="1032"/>
      <c r="I325" s="1032"/>
      <c r="J325" s="1032"/>
      <c r="K325" s="520"/>
      <c r="L325" s="224"/>
      <c r="M325" s="531"/>
      <c r="N325" s="531"/>
      <c r="O325" s="531"/>
      <c r="P325" s="531"/>
      <c r="Q325" s="531"/>
      <c r="R325" s="531"/>
    </row>
    <row r="326" spans="1:18" s="1" customFormat="1" ht="13" customHeight="1">
      <c r="A326" s="17"/>
      <c r="B326" s="14" t="s">
        <v>1</v>
      </c>
      <c r="C326" s="232"/>
      <c r="D326" s="232"/>
      <c r="E326" s="232"/>
      <c r="F326" s="17"/>
      <c r="G326" s="527"/>
      <c r="H326" s="527"/>
      <c r="I326" s="527"/>
      <c r="J326" s="527"/>
      <c r="K326" s="17"/>
      <c r="L326" s="224"/>
      <c r="M326" s="531"/>
      <c r="N326" s="531"/>
      <c r="O326" s="531"/>
      <c r="P326" s="531"/>
      <c r="Q326" s="531"/>
      <c r="R326" s="531"/>
    </row>
    <row r="327" spans="1:18" s="1" customFormat="1" ht="13" customHeight="1">
      <c r="A327" s="17"/>
      <c r="B327" s="17"/>
      <c r="C327" s="527" t="s">
        <v>4</v>
      </c>
      <c r="D327" s="21">
        <f>INDEX(Kappe!L17:N17,1,MATCH(Eingabe!$C$4,Kappe!$L$12:$N$12))</f>
        <v>247</v>
      </c>
      <c r="E327" s="19" t="s">
        <v>2</v>
      </c>
      <c r="F327" s="17"/>
      <c r="G327" s="527" t="s">
        <v>361</v>
      </c>
      <c r="H327" s="527"/>
      <c r="I327" s="527"/>
      <c r="J327" s="527"/>
      <c r="K327" s="17"/>
      <c r="L327" s="224"/>
      <c r="M327" s="531"/>
      <c r="N327" s="531"/>
      <c r="O327" s="531"/>
      <c r="P327" s="531"/>
      <c r="Q327" s="531"/>
      <c r="R327" s="531"/>
    </row>
    <row r="328" spans="1:18" s="1" customFormat="1" ht="13" customHeight="1">
      <c r="A328" s="17"/>
      <c r="B328" s="17"/>
      <c r="C328" s="17" t="s">
        <v>3</v>
      </c>
      <c r="D328" s="21">
        <f>Kappe!$L$18</f>
        <v>1.87</v>
      </c>
      <c r="E328" s="19" t="s">
        <v>7</v>
      </c>
      <c r="F328" s="17"/>
      <c r="G328" s="527" t="s">
        <v>359</v>
      </c>
      <c r="H328" s="527"/>
      <c r="I328" s="527"/>
      <c r="J328" s="527"/>
      <c r="K328" s="17"/>
      <c r="L328" s="224"/>
      <c r="M328" s="531"/>
      <c r="N328" s="531"/>
      <c r="O328" s="531"/>
      <c r="P328" s="531"/>
      <c r="Q328" s="531"/>
      <c r="R328" s="531"/>
    </row>
    <row r="329" spans="1:18" s="1" customFormat="1" ht="13" customHeight="1">
      <c r="A329" s="17"/>
      <c r="B329" s="17"/>
      <c r="C329" s="527" t="s">
        <v>64</v>
      </c>
      <c r="D329" s="21">
        <f>INDEX(Kappe!L19:N19,1,MATCH(Eingabe!$C$4,Kappe!$L$12:$N$12))</f>
        <v>132.08556149732618</v>
      </c>
      <c r="E329" s="19" t="s">
        <v>2</v>
      </c>
      <c r="F329" s="17"/>
      <c r="G329" s="527" t="s">
        <v>73</v>
      </c>
      <c r="H329" s="527"/>
      <c r="I329" s="527"/>
      <c r="J329" s="527"/>
      <c r="K329" s="17"/>
      <c r="L329" s="224"/>
      <c r="M329" s="531"/>
      <c r="N329" s="531"/>
      <c r="O329" s="531"/>
      <c r="P329" s="531"/>
      <c r="Q329" s="531"/>
      <c r="R329" s="531"/>
    </row>
    <row r="330" spans="1:18" s="1" customFormat="1" ht="13" customHeight="1">
      <c r="A330" s="17"/>
      <c r="B330" s="17"/>
      <c r="C330" s="527" t="s">
        <v>306</v>
      </c>
      <c r="D330" s="21">
        <f>Kappe!$L$53</f>
        <v>4.7057430951337125</v>
      </c>
      <c r="E330" s="19" t="s">
        <v>2</v>
      </c>
      <c r="F330" s="17"/>
      <c r="G330" s="527" t="s">
        <v>75</v>
      </c>
      <c r="H330" s="527"/>
      <c r="I330" s="527"/>
      <c r="J330" s="527"/>
      <c r="K330" s="17"/>
      <c r="L330" s="224"/>
      <c r="M330" s="531"/>
      <c r="N330" s="531"/>
      <c r="O330" s="531"/>
      <c r="P330" s="531"/>
      <c r="Q330" s="531"/>
      <c r="R330" s="531"/>
    </row>
    <row r="331" spans="1:18" s="1" customFormat="1" ht="13" customHeight="1">
      <c r="A331" s="17"/>
      <c r="B331" s="17"/>
      <c r="C331" s="25" t="s">
        <v>88</v>
      </c>
      <c r="D331" s="26">
        <f>D330/D329</f>
        <v>3.5626476064372643E-2</v>
      </c>
      <c r="E331" s="520" t="s">
        <v>7</v>
      </c>
      <c r="F331" s="27"/>
      <c r="G331" s="24" t="s">
        <v>46</v>
      </c>
      <c r="H331" s="527"/>
      <c r="I331" s="527"/>
      <c r="J331" s="527"/>
      <c r="K331" s="17"/>
      <c r="L331" s="224"/>
      <c r="M331" s="531"/>
      <c r="N331" s="531"/>
      <c r="O331" s="531"/>
      <c r="P331" s="531"/>
      <c r="Q331" s="531"/>
      <c r="R331" s="531"/>
    </row>
    <row r="332" spans="1:18" s="1" customFormat="1" ht="5.5" customHeight="1">
      <c r="A332" s="4"/>
      <c r="B332" s="240"/>
      <c r="C332" s="240"/>
      <c r="D332" s="240"/>
      <c r="E332" s="240"/>
      <c r="F332" s="240"/>
      <c r="G332" s="240"/>
      <c r="H332" s="240"/>
      <c r="I332" s="240"/>
      <c r="J332" s="240"/>
      <c r="K332" s="4"/>
      <c r="L332" s="224"/>
      <c r="M332" s="531"/>
      <c r="N332" s="531"/>
      <c r="O332" s="531"/>
      <c r="P332" s="531"/>
      <c r="Q332" s="531"/>
      <c r="R332" s="531"/>
    </row>
    <row r="333" spans="1:18" s="1" customFormat="1" ht="13" customHeight="1">
      <c r="A333" s="224"/>
      <c r="B333" s="233" t="s">
        <v>5</v>
      </c>
      <c r="C333" s="19"/>
      <c r="D333" s="19"/>
      <c r="E333" s="17"/>
      <c r="F333" s="17"/>
      <c r="G333" s="527"/>
      <c r="H333" s="527"/>
      <c r="I333" s="527"/>
      <c r="J333" s="225"/>
      <c r="K333" s="224"/>
      <c r="L333" s="224"/>
      <c r="M333" s="531"/>
      <c r="N333" s="531"/>
      <c r="O333" s="531"/>
      <c r="P333" s="531"/>
      <c r="Q333" s="531"/>
      <c r="R333" s="531"/>
    </row>
    <row r="334" spans="1:18" s="1" customFormat="1" ht="13" customHeight="1">
      <c r="A334" s="224"/>
      <c r="B334" s="233"/>
      <c r="C334" s="234" t="s">
        <v>115</v>
      </c>
      <c r="D334" s="21">
        <f>INDEX(Kappe!L21:N21,1,MATCH(Eingabe!$C$4,Kappe!$L$12:$N$12))</f>
        <v>565</v>
      </c>
      <c r="E334" s="19" t="s">
        <v>16</v>
      </c>
      <c r="F334" s="17"/>
      <c r="G334" s="527" t="s">
        <v>137</v>
      </c>
      <c r="H334" s="527"/>
      <c r="I334" s="527"/>
      <c r="J334" s="225"/>
      <c r="K334" s="224"/>
      <c r="L334" s="224"/>
      <c r="M334" s="531"/>
      <c r="N334" s="531"/>
      <c r="O334" s="531"/>
      <c r="P334" s="531"/>
      <c r="Q334" s="531"/>
      <c r="R334" s="531"/>
    </row>
    <row r="335" spans="1:18" s="655" customFormat="1" ht="13" customHeight="1">
      <c r="A335" s="224"/>
      <c r="B335" s="233"/>
      <c r="C335" s="666" t="s">
        <v>1152</v>
      </c>
      <c r="D335" s="669">
        <f>Eingabe!N3</f>
        <v>1</v>
      </c>
      <c r="E335" s="19" t="s">
        <v>7</v>
      </c>
      <c r="F335" s="17"/>
      <c r="G335" s="527" t="s">
        <v>1151</v>
      </c>
      <c r="H335" s="527"/>
      <c r="I335" s="527"/>
      <c r="J335" s="225"/>
      <c r="K335" s="224"/>
      <c r="L335" s="224"/>
    </row>
    <row r="336" spans="1:18" s="1" customFormat="1" ht="13" customHeight="1">
      <c r="A336" s="224"/>
      <c r="B336" s="233"/>
      <c r="C336" s="234" t="s">
        <v>6</v>
      </c>
      <c r="D336" s="21">
        <f>INDEX(Kappe!L22:N22,1,MATCH(Eingabe!$C$4,Kappe!$L$12:$N$12))</f>
        <v>101.7</v>
      </c>
      <c r="E336" s="19" t="s">
        <v>2</v>
      </c>
      <c r="F336" s="17"/>
      <c r="G336" s="527" t="s">
        <v>1324</v>
      </c>
      <c r="H336" s="527"/>
      <c r="I336" s="527"/>
      <c r="J336" s="225"/>
      <c r="K336" s="224"/>
      <c r="L336" s="224"/>
      <c r="M336" s="531"/>
      <c r="N336" s="531"/>
      <c r="O336" s="531"/>
      <c r="P336" s="531"/>
      <c r="Q336" s="531"/>
      <c r="R336" s="531"/>
    </row>
    <row r="337" spans="1:18" s="1" customFormat="1" ht="13" customHeight="1">
      <c r="A337" s="224"/>
      <c r="B337" s="233"/>
      <c r="C337" s="234" t="s">
        <v>108</v>
      </c>
      <c r="D337" s="18">
        <f>Kappe!L23</f>
        <v>1.2</v>
      </c>
      <c r="E337" s="19" t="s">
        <v>7</v>
      </c>
      <c r="F337" s="17"/>
      <c r="G337" s="527" t="s">
        <v>1324</v>
      </c>
      <c r="H337" s="527"/>
      <c r="I337" s="527"/>
      <c r="J337" s="225"/>
      <c r="K337" s="224"/>
      <c r="L337" s="224"/>
      <c r="M337" s="531"/>
      <c r="N337" s="531"/>
      <c r="O337" s="531"/>
      <c r="P337" s="531"/>
      <c r="Q337" s="531"/>
      <c r="R337" s="531"/>
    </row>
    <row r="338" spans="1:18" s="1" customFormat="1" ht="13" customHeight="1">
      <c r="A338" s="224"/>
      <c r="B338" s="233"/>
      <c r="C338" s="234" t="s">
        <v>123</v>
      </c>
      <c r="D338" s="21">
        <f>INDEX(Kappe!L24:N24,1,MATCH(Eingabe!$C$4,Kappe!$L$12:$N$12))</f>
        <v>84.75</v>
      </c>
      <c r="E338" s="19" t="s">
        <v>2</v>
      </c>
      <c r="F338" s="17"/>
      <c r="G338" s="527" t="s">
        <v>73</v>
      </c>
      <c r="H338" s="527"/>
      <c r="I338" s="527"/>
      <c r="J338" s="225"/>
      <c r="K338" s="224"/>
      <c r="L338" s="224"/>
      <c r="M338" s="531"/>
      <c r="N338" s="531"/>
      <c r="O338" s="531"/>
      <c r="P338" s="531"/>
      <c r="Q338" s="531"/>
      <c r="R338" s="531"/>
    </row>
    <row r="339" spans="1:18" s="1" customFormat="1" ht="13" customHeight="1">
      <c r="A339" s="224"/>
      <c r="B339" s="233"/>
      <c r="C339" s="527" t="s">
        <v>306</v>
      </c>
      <c r="D339" s="21">
        <f>Kappe!$L$53</f>
        <v>4.7057430951337125</v>
      </c>
      <c r="E339" s="19" t="s">
        <v>2</v>
      </c>
      <c r="F339" s="17"/>
      <c r="G339" s="527" t="s">
        <v>75</v>
      </c>
      <c r="H339" s="527"/>
      <c r="I339" s="527"/>
      <c r="J339" s="225"/>
      <c r="K339" s="224"/>
      <c r="L339" s="224"/>
      <c r="M339" s="531"/>
      <c r="N339" s="531"/>
      <c r="O339" s="531"/>
      <c r="P339" s="531"/>
      <c r="Q339" s="531"/>
      <c r="R339" s="531"/>
    </row>
    <row r="340" spans="1:18" s="1" customFormat="1" ht="13" customHeight="1">
      <c r="A340" s="224"/>
      <c r="B340" s="233"/>
      <c r="C340" s="25" t="s">
        <v>122</v>
      </c>
      <c r="D340" s="26">
        <f>D339/D338</f>
        <v>5.552499227296416E-2</v>
      </c>
      <c r="E340" s="520" t="s">
        <v>7</v>
      </c>
      <c r="F340" s="27"/>
      <c r="G340" s="24" t="s">
        <v>46</v>
      </c>
      <c r="H340" s="527"/>
      <c r="I340" s="527"/>
      <c r="J340" s="225"/>
      <c r="K340" s="224"/>
      <c r="L340" s="224"/>
      <c r="M340" s="531"/>
      <c r="N340" s="531"/>
      <c r="O340" s="531"/>
      <c r="P340" s="531"/>
      <c r="Q340" s="531"/>
      <c r="R340" s="531"/>
    </row>
    <row r="341" spans="1:18" s="1" customFormat="1" ht="5.5" customHeight="1">
      <c r="A341" s="228"/>
      <c r="B341" s="240"/>
      <c r="C341" s="240"/>
      <c r="D341" s="240"/>
      <c r="E341" s="240"/>
      <c r="F341" s="240"/>
      <c r="G341" s="240"/>
      <c r="H341" s="240"/>
      <c r="I341" s="240"/>
      <c r="J341" s="242"/>
      <c r="K341" s="228"/>
      <c r="L341" s="224"/>
      <c r="M341" s="531"/>
      <c r="N341" s="531"/>
      <c r="O341" s="531"/>
      <c r="P341" s="531"/>
      <c r="Q341" s="531"/>
      <c r="R341" s="531"/>
    </row>
    <row r="342" spans="1:18" s="1" customFormat="1" ht="13" customHeight="1">
      <c r="A342" s="224"/>
      <c r="B342" s="233" t="s">
        <v>8</v>
      </c>
      <c r="C342" s="19"/>
      <c r="D342" s="19"/>
      <c r="E342" s="17"/>
      <c r="F342" s="17"/>
      <c r="G342" s="527"/>
      <c r="H342" s="527"/>
      <c r="I342" s="527"/>
      <c r="J342" s="225"/>
      <c r="K342" s="224"/>
      <c r="L342" s="224"/>
      <c r="M342" s="531"/>
      <c r="N342" s="531"/>
      <c r="O342" s="531"/>
      <c r="P342" s="531"/>
      <c r="Q342" s="531"/>
      <c r="R342" s="531"/>
    </row>
    <row r="343" spans="1:18" s="1" customFormat="1" ht="13" customHeight="1">
      <c r="A343" s="224"/>
      <c r="B343" s="17"/>
      <c r="C343" s="527" t="s">
        <v>78</v>
      </c>
      <c r="D343" s="21">
        <f>INDEX(Kappe!L27:N27,1,MATCH(Eingabe!$C$4,Kappe!$L$12:$N$12))</f>
        <v>30.846077222233625</v>
      </c>
      <c r="E343" s="19" t="s">
        <v>2</v>
      </c>
      <c r="F343" s="17"/>
      <c r="G343" s="527" t="s">
        <v>1324</v>
      </c>
      <c r="H343" s="527"/>
      <c r="I343" s="527"/>
      <c r="J343" s="225"/>
      <c r="K343" s="224"/>
      <c r="L343" s="224"/>
      <c r="M343" s="531"/>
      <c r="N343" s="531"/>
      <c r="O343" s="531"/>
      <c r="P343" s="531"/>
      <c r="Q343" s="531"/>
      <c r="R343" s="531"/>
    </row>
    <row r="344" spans="1:18" s="1" customFormat="1" ht="13" customHeight="1">
      <c r="A344" s="224"/>
      <c r="B344" s="17"/>
      <c r="C344" s="527" t="s">
        <v>79</v>
      </c>
      <c r="D344" s="20">
        <f>INDEX(Kappe!L28:N28,1,MATCH(Eingabe!$C$4,Kappe!$L$12:$N$12))</f>
        <v>51984</v>
      </c>
      <c r="E344" s="19" t="s">
        <v>16</v>
      </c>
      <c r="F344" s="17"/>
      <c r="G344" s="527" t="s">
        <v>1324</v>
      </c>
      <c r="H344" s="527"/>
      <c r="I344" s="527"/>
      <c r="J344" s="225"/>
      <c r="K344" s="224"/>
      <c r="L344" s="224"/>
      <c r="M344" s="531"/>
      <c r="N344" s="531"/>
      <c r="O344" s="531"/>
      <c r="P344" s="531"/>
      <c r="Q344" s="531"/>
      <c r="R344" s="531"/>
    </row>
    <row r="345" spans="1:18" s="1" customFormat="1" ht="13" customHeight="1">
      <c r="A345" s="224"/>
      <c r="B345" s="17"/>
      <c r="C345" s="527" t="s">
        <v>80</v>
      </c>
      <c r="D345" s="20">
        <f>INDEX(Kappe!L29:N29,1,MATCH(Eingabe!$C$4,Kappe!$L$12:$N$12))</f>
        <v>69168</v>
      </c>
      <c r="E345" s="19" t="s">
        <v>16</v>
      </c>
      <c r="F345" s="17"/>
      <c r="G345" s="527" t="s">
        <v>1324</v>
      </c>
      <c r="H345" s="527"/>
      <c r="I345" s="527"/>
      <c r="J345" s="225"/>
      <c r="K345" s="224"/>
      <c r="L345" s="224"/>
      <c r="M345" s="531"/>
      <c r="N345" s="531"/>
      <c r="O345" s="531"/>
      <c r="P345" s="531"/>
      <c r="Q345" s="531"/>
      <c r="R345" s="531"/>
    </row>
    <row r="346" spans="1:18" s="1" customFormat="1" ht="13" customHeight="1">
      <c r="A346" s="224"/>
      <c r="B346" s="17"/>
      <c r="C346" s="527" t="s">
        <v>10</v>
      </c>
      <c r="D346" s="18">
        <f>Kappe!$L$26</f>
        <v>8.5</v>
      </c>
      <c r="E346" s="19" t="s">
        <v>7</v>
      </c>
      <c r="F346" s="17"/>
      <c r="G346" s="527" t="s">
        <v>1324</v>
      </c>
      <c r="H346" s="527"/>
      <c r="I346" s="527"/>
      <c r="J346" s="225"/>
      <c r="K346" s="224"/>
      <c r="L346" s="224"/>
      <c r="M346" s="531"/>
      <c r="N346" s="531"/>
      <c r="O346" s="531"/>
      <c r="P346" s="531"/>
      <c r="Q346" s="531"/>
      <c r="R346" s="531"/>
    </row>
    <row r="347" spans="1:18" s="1" customFormat="1" ht="13" customHeight="1">
      <c r="A347" s="224"/>
      <c r="B347" s="17"/>
      <c r="C347" s="23" t="s">
        <v>81</v>
      </c>
      <c r="D347" s="21">
        <f>INDEX(Kappe!L30:N30,1,MATCH(Eingabe!$C$4,Kappe!$L$12:$N$12))</f>
        <v>1</v>
      </c>
      <c r="E347" s="19" t="s">
        <v>7</v>
      </c>
      <c r="F347" s="17"/>
      <c r="G347" s="527" t="s">
        <v>1324</v>
      </c>
      <c r="H347" s="527"/>
      <c r="I347" s="527"/>
      <c r="J347" s="225"/>
      <c r="K347" s="224"/>
      <c r="L347" s="224"/>
      <c r="M347" s="531"/>
      <c r="N347" s="531"/>
      <c r="O347" s="531"/>
      <c r="P347" s="531"/>
      <c r="Q347" s="531"/>
      <c r="R347" s="531"/>
    </row>
    <row r="348" spans="1:18" s="1" customFormat="1" ht="13" customHeight="1">
      <c r="A348" s="224"/>
      <c r="B348" s="17"/>
      <c r="C348" s="23" t="s">
        <v>82</v>
      </c>
      <c r="D348" s="21">
        <f>INDEX(Kappe!L31:N31,1,MATCH(Eingabe!$C$4,Kappe!$L$12:$N$12))</f>
        <v>1</v>
      </c>
      <c r="E348" s="19" t="s">
        <v>7</v>
      </c>
      <c r="F348" s="17"/>
      <c r="G348" s="527" t="s">
        <v>1324</v>
      </c>
      <c r="H348" s="527"/>
      <c r="I348" s="527"/>
      <c r="J348" s="225"/>
      <c r="K348" s="224"/>
      <c r="L348" s="224"/>
      <c r="M348" s="531"/>
      <c r="N348" s="531"/>
      <c r="O348" s="531"/>
      <c r="P348" s="531"/>
      <c r="Q348" s="531"/>
      <c r="R348" s="531"/>
    </row>
    <row r="349" spans="1:18" s="1" customFormat="1" ht="13" customHeight="1">
      <c r="A349" s="224"/>
      <c r="B349" s="17"/>
      <c r="C349" s="23" t="s">
        <v>83</v>
      </c>
      <c r="D349" s="21">
        <f>INDEX(Kappe!L32:N32,1,MATCH(Eingabe!$C$4,Kappe!$L$12:$N$12))</f>
        <v>1</v>
      </c>
      <c r="E349" s="19" t="s">
        <v>7</v>
      </c>
      <c r="F349" s="17"/>
      <c r="G349" s="527" t="s">
        <v>1324</v>
      </c>
      <c r="H349" s="527"/>
      <c r="I349" s="527"/>
      <c r="J349" s="225"/>
      <c r="K349" s="224"/>
      <c r="L349" s="224"/>
      <c r="M349" s="531"/>
      <c r="N349" s="531"/>
      <c r="O349" s="531"/>
      <c r="P349" s="531"/>
      <c r="Q349" s="531"/>
      <c r="R349" s="531"/>
    </row>
    <row r="350" spans="1:18" s="1" customFormat="1" ht="13" customHeight="1">
      <c r="A350" s="224"/>
      <c r="B350" s="17"/>
      <c r="C350" s="23" t="s">
        <v>84</v>
      </c>
      <c r="D350" s="21">
        <f>INDEX(Kappe!L33:N33,1,MATCH(Eingabe!$C$4,Kappe!$L$12:$N$12))</f>
        <v>1</v>
      </c>
      <c r="E350" s="19" t="s">
        <v>7</v>
      </c>
      <c r="F350" s="17"/>
      <c r="G350" s="527" t="s">
        <v>1324</v>
      </c>
      <c r="H350" s="527"/>
      <c r="I350" s="527"/>
      <c r="J350" s="225"/>
      <c r="K350" s="224"/>
      <c r="L350" s="224"/>
      <c r="M350" s="531"/>
      <c r="N350" s="531"/>
      <c r="O350" s="531"/>
      <c r="P350" s="531"/>
      <c r="Q350" s="531"/>
      <c r="R350" s="531"/>
    </row>
    <row r="351" spans="1:18" s="655" customFormat="1" ht="13" customHeight="1">
      <c r="A351" s="224"/>
      <c r="B351" s="17"/>
      <c r="C351" s="666" t="s">
        <v>1152</v>
      </c>
      <c r="D351" s="669">
        <f>Eingabe!N3</f>
        <v>1</v>
      </c>
      <c r="E351" s="19" t="s">
        <v>7</v>
      </c>
      <c r="F351" s="17"/>
      <c r="G351" s="527" t="s">
        <v>1151</v>
      </c>
      <c r="H351" s="527"/>
      <c r="I351" s="527"/>
      <c r="J351" s="225"/>
      <c r="K351" s="224"/>
      <c r="L351" s="224"/>
    </row>
    <row r="352" spans="1:18" s="1" customFormat="1" ht="13" customHeight="1">
      <c r="A352" s="224"/>
      <c r="B352" s="17"/>
      <c r="C352" s="527" t="s">
        <v>77</v>
      </c>
      <c r="D352" s="21">
        <f>INDEX(Kappe!L34:N34,1,MATCH(Eingabe!$C$4,Kappe!$L$12:$N$12))</f>
        <v>41.042656765686658</v>
      </c>
      <c r="E352" s="19" t="s">
        <v>2</v>
      </c>
      <c r="F352" s="17"/>
      <c r="G352" s="527" t="s">
        <v>1324</v>
      </c>
      <c r="H352" s="527"/>
      <c r="I352" s="527"/>
      <c r="J352" s="225"/>
      <c r="K352" s="224"/>
      <c r="L352" s="224"/>
      <c r="M352" s="531"/>
      <c r="N352" s="531"/>
      <c r="O352" s="531"/>
      <c r="P352" s="531"/>
      <c r="Q352" s="531"/>
      <c r="R352" s="531"/>
    </row>
    <row r="353" spans="1:18" s="1" customFormat="1" ht="13" customHeight="1">
      <c r="A353" s="224"/>
      <c r="B353" s="17"/>
      <c r="C353" s="17" t="s">
        <v>12</v>
      </c>
      <c r="D353" s="21">
        <f>Kappe!$L$35</f>
        <v>1.2</v>
      </c>
      <c r="E353" s="19" t="s">
        <v>7</v>
      </c>
      <c r="F353" s="17"/>
      <c r="G353" s="527" t="s">
        <v>1324</v>
      </c>
      <c r="H353" s="527"/>
      <c r="I353" s="527"/>
      <c r="J353" s="225"/>
      <c r="K353" s="224"/>
      <c r="L353" s="224"/>
      <c r="M353" s="531"/>
      <c r="N353" s="531"/>
      <c r="O353" s="531"/>
      <c r="P353" s="531"/>
      <c r="Q353" s="531"/>
      <c r="R353" s="531"/>
    </row>
    <row r="354" spans="1:18" s="1" customFormat="1" ht="13" customHeight="1">
      <c r="A354" s="224"/>
      <c r="B354" s="17"/>
      <c r="C354" s="527" t="s">
        <v>71</v>
      </c>
      <c r="D354" s="21">
        <f>INDEX(Kappe!L36:N36,1,MATCH(Eingabe!$C$4,Kappe!$L$12:$N$12))</f>
        <v>34.202213971405548</v>
      </c>
      <c r="E354" s="19" t="s">
        <v>2</v>
      </c>
      <c r="F354" s="17"/>
      <c r="G354" s="527" t="s">
        <v>73</v>
      </c>
      <c r="H354" s="527"/>
      <c r="I354" s="527"/>
      <c r="J354" s="225"/>
      <c r="K354" s="224"/>
      <c r="L354" s="224"/>
      <c r="M354" s="531"/>
      <c r="N354" s="531"/>
      <c r="O354" s="531"/>
      <c r="P354" s="531"/>
      <c r="Q354" s="531"/>
      <c r="R354" s="531"/>
    </row>
    <row r="355" spans="1:18" s="1" customFormat="1" ht="13" customHeight="1">
      <c r="A355" s="224"/>
      <c r="B355" s="17"/>
      <c r="C355" s="527" t="s">
        <v>306</v>
      </c>
      <c r="D355" s="21">
        <f>Kappe!$L$53</f>
        <v>4.7057430951337125</v>
      </c>
      <c r="E355" s="19" t="s">
        <v>2</v>
      </c>
      <c r="F355" s="17"/>
      <c r="G355" s="527" t="s">
        <v>75</v>
      </c>
      <c r="H355" s="527"/>
      <c r="I355" s="527"/>
      <c r="J355" s="225"/>
      <c r="K355" s="224"/>
      <c r="L355" s="224"/>
      <c r="M355" s="531"/>
      <c r="N355" s="531"/>
      <c r="O355" s="531"/>
      <c r="P355" s="531"/>
      <c r="Q355" s="531"/>
      <c r="R355" s="531"/>
    </row>
    <row r="356" spans="1:18" s="1" customFormat="1" ht="13" customHeight="1">
      <c r="A356" s="224"/>
      <c r="B356" s="17"/>
      <c r="C356" s="25" t="s">
        <v>89</v>
      </c>
      <c r="D356" s="26">
        <f>D355/D354</f>
        <v>0.13758592058010941</v>
      </c>
      <c r="E356" s="520" t="s">
        <v>7</v>
      </c>
      <c r="F356" s="27"/>
      <c r="G356" s="24" t="s">
        <v>46</v>
      </c>
      <c r="H356" s="527"/>
      <c r="I356" s="527"/>
      <c r="J356" s="225"/>
      <c r="K356" s="224"/>
      <c r="L356" s="224"/>
      <c r="M356" s="531"/>
      <c r="N356" s="531"/>
      <c r="O356" s="531"/>
      <c r="P356" s="531"/>
      <c r="Q356" s="531"/>
      <c r="R356" s="531"/>
    </row>
    <row r="357" spans="1:18" s="457" customFormat="1" ht="5.5" customHeight="1">
      <c r="A357" s="224"/>
      <c r="B357" s="17"/>
      <c r="C357" s="25"/>
      <c r="D357" s="26"/>
      <c r="E357" s="520"/>
      <c r="F357" s="27"/>
      <c r="G357" s="24"/>
      <c r="H357" s="527"/>
      <c r="I357" s="527"/>
      <c r="J357" s="225"/>
      <c r="K357" s="224"/>
      <c r="L357" s="224"/>
      <c r="M357" s="531"/>
      <c r="N357" s="531"/>
      <c r="O357" s="531"/>
      <c r="P357" s="531"/>
      <c r="Q357" s="531"/>
      <c r="R357" s="531"/>
    </row>
    <row r="358" spans="1:18" s="457" customFormat="1" ht="13" customHeight="1">
      <c r="A358" s="1032" t="s">
        <v>513</v>
      </c>
      <c r="B358" s="1032"/>
      <c r="C358" s="1032"/>
      <c r="D358" s="1032"/>
      <c r="E358" s="1032"/>
      <c r="F358" s="1032"/>
      <c r="G358" s="1032"/>
      <c r="H358" s="1032"/>
      <c r="I358" s="1032"/>
      <c r="J358" s="1032"/>
      <c r="K358" s="520"/>
      <c r="L358" s="224"/>
      <c r="M358" s="531"/>
      <c r="N358" s="531"/>
      <c r="O358" s="531"/>
      <c r="P358" s="531"/>
      <c r="Q358" s="531"/>
      <c r="R358" s="531"/>
    </row>
    <row r="359" spans="1:18" s="457" customFormat="1" ht="13" customHeight="1">
      <c r="A359" s="224"/>
      <c r="B359" s="235" t="s">
        <v>120</v>
      </c>
      <c r="C359" s="25"/>
      <c r="D359" s="26"/>
      <c r="E359" s="520"/>
      <c r="F359" s="27"/>
      <c r="G359" s="24"/>
      <c r="H359" s="527"/>
      <c r="I359" s="527"/>
      <c r="J359" s="225"/>
      <c r="K359" s="224"/>
      <c r="L359" s="224"/>
      <c r="M359" s="531"/>
      <c r="N359" s="531"/>
      <c r="O359" s="531"/>
      <c r="P359" s="531"/>
      <c r="Q359" s="531"/>
      <c r="R359" s="531"/>
    </row>
    <row r="360" spans="1:18" s="457" customFormat="1" ht="13" customHeight="1">
      <c r="A360" s="224"/>
      <c r="B360" s="17"/>
      <c r="C360" s="527" t="s">
        <v>118</v>
      </c>
      <c r="D360" s="18">
        <f>INDEX(Kappe!L58:N58,1,MATCH(Eingabe!$C$4,Kappe!$L$12:$N$12))</f>
        <v>757.99758981340312</v>
      </c>
      <c r="E360" s="19" t="s">
        <v>119</v>
      </c>
      <c r="F360" s="17"/>
      <c r="G360" s="527" t="s">
        <v>362</v>
      </c>
      <c r="H360" s="527"/>
      <c r="I360" s="527"/>
      <c r="J360" s="225"/>
      <c r="K360" s="224"/>
      <c r="L360" s="224"/>
      <c r="M360" s="531"/>
      <c r="N360" s="531"/>
      <c r="O360" s="531"/>
      <c r="P360" s="531"/>
      <c r="Q360" s="531"/>
      <c r="R360" s="531"/>
    </row>
    <row r="361" spans="1:18" s="457" customFormat="1" ht="13" customHeight="1">
      <c r="A361" s="224"/>
      <c r="B361" s="17"/>
      <c r="C361" s="17" t="s">
        <v>3</v>
      </c>
      <c r="D361" s="21">
        <f>Kappe!$L$59</f>
        <v>1.56</v>
      </c>
      <c r="E361" s="19" t="s">
        <v>7</v>
      </c>
      <c r="F361" s="17"/>
      <c r="G361" s="527" t="s">
        <v>359</v>
      </c>
      <c r="H361" s="527"/>
      <c r="I361" s="527"/>
      <c r="J361" s="225"/>
      <c r="K361" s="224"/>
      <c r="L361" s="224"/>
      <c r="M361" s="531"/>
      <c r="N361" s="531"/>
      <c r="O361" s="531"/>
      <c r="P361" s="531"/>
      <c r="Q361" s="531"/>
      <c r="R361" s="531"/>
    </row>
    <row r="362" spans="1:18" s="457" customFormat="1" ht="13" customHeight="1">
      <c r="A362" s="224"/>
      <c r="B362" s="17"/>
      <c r="C362" s="527" t="s">
        <v>65</v>
      </c>
      <c r="D362" s="21">
        <f>INDEX(Kappe!L60:N60,1,MATCH(Eingabe!$C$4,Kappe!$L$12:$N$12))</f>
        <v>30.368493181626725</v>
      </c>
      <c r="E362" s="19" t="s">
        <v>2</v>
      </c>
      <c r="F362" s="17"/>
      <c r="G362" s="527" t="s">
        <v>73</v>
      </c>
      <c r="H362" s="527"/>
      <c r="I362" s="527"/>
      <c r="J362" s="225"/>
      <c r="K362" s="224"/>
      <c r="L362" s="224"/>
      <c r="M362" s="531"/>
      <c r="N362" s="531"/>
      <c r="O362" s="531"/>
      <c r="P362" s="531"/>
      <c r="Q362" s="531"/>
      <c r="R362" s="531"/>
    </row>
    <row r="363" spans="1:18" s="457" customFormat="1" ht="13" customHeight="1">
      <c r="A363" s="224"/>
      <c r="B363" s="17"/>
      <c r="C363" s="527" t="s">
        <v>307</v>
      </c>
      <c r="D363" s="18">
        <f>Kappe!$L$61</f>
        <v>29.921271248249965</v>
      </c>
      <c r="E363" s="19" t="s">
        <v>2</v>
      </c>
      <c r="F363" s="17"/>
      <c r="G363" s="527" t="s">
        <v>75</v>
      </c>
      <c r="H363" s="527"/>
      <c r="I363" s="527"/>
      <c r="J363" s="225"/>
      <c r="K363" s="224"/>
      <c r="L363" s="224"/>
      <c r="M363" s="531"/>
      <c r="N363" s="531"/>
      <c r="O363" s="531"/>
      <c r="P363" s="531"/>
      <c r="Q363" s="531"/>
      <c r="R363" s="531"/>
    </row>
    <row r="364" spans="1:18" s="457" customFormat="1" ht="13" customHeight="1">
      <c r="A364" s="224"/>
      <c r="B364" s="17"/>
      <c r="C364" s="25" t="s">
        <v>90</v>
      </c>
      <c r="D364" s="26">
        <f>D363/D362</f>
        <v>0.98527348951092064</v>
      </c>
      <c r="E364" s="520" t="s">
        <v>7</v>
      </c>
      <c r="F364" s="27"/>
      <c r="G364" s="24" t="s">
        <v>46</v>
      </c>
      <c r="H364" s="527"/>
      <c r="I364" s="527"/>
      <c r="J364" s="225"/>
      <c r="K364" s="224"/>
      <c r="L364" s="224"/>
      <c r="M364" s="531"/>
      <c r="N364" s="531"/>
      <c r="O364" s="531"/>
      <c r="P364" s="531"/>
      <c r="Q364" s="531"/>
      <c r="R364" s="531"/>
    </row>
    <row r="365" spans="1:18" s="457" customFormat="1" ht="5.5" customHeight="1">
      <c r="A365" s="224"/>
      <c r="B365" s="17"/>
      <c r="C365" s="25"/>
      <c r="D365" s="26"/>
      <c r="E365" s="520"/>
      <c r="F365" s="27"/>
      <c r="G365" s="24"/>
      <c r="H365" s="527"/>
      <c r="I365" s="527"/>
      <c r="J365" s="225"/>
      <c r="K365" s="224"/>
      <c r="L365" s="224"/>
      <c r="M365" s="531"/>
      <c r="N365" s="531"/>
      <c r="O365" s="531"/>
      <c r="P365" s="531"/>
      <c r="Q365" s="531"/>
      <c r="R365" s="531"/>
    </row>
    <row r="366" spans="1:18" s="457" customFormat="1" ht="13" customHeight="1">
      <c r="A366" s="224"/>
      <c r="B366" s="238" t="s">
        <v>9</v>
      </c>
      <c r="C366" s="25"/>
      <c r="D366" s="26"/>
      <c r="E366" s="520"/>
      <c r="F366" s="27"/>
      <c r="G366" s="24"/>
      <c r="H366" s="527"/>
      <c r="I366" s="527"/>
      <c r="J366" s="225"/>
      <c r="K366" s="224"/>
      <c r="L366" s="224"/>
      <c r="M366" s="531"/>
      <c r="N366" s="531"/>
      <c r="O366" s="531"/>
      <c r="P366" s="531"/>
      <c r="Q366" s="531"/>
      <c r="R366" s="531"/>
    </row>
    <row r="367" spans="1:18" s="457" customFormat="1" ht="13" customHeight="1">
      <c r="A367" s="224"/>
      <c r="B367" s="17"/>
      <c r="C367" s="4" t="s">
        <v>10</v>
      </c>
      <c r="D367" s="18">
        <f>Kappe!$L$64</f>
        <v>2</v>
      </c>
      <c r="E367" s="19" t="s">
        <v>7</v>
      </c>
      <c r="F367" s="17"/>
      <c r="G367" s="527" t="s">
        <v>1324</v>
      </c>
      <c r="H367" s="527"/>
      <c r="I367" s="527"/>
      <c r="J367" s="225"/>
      <c r="K367" s="224"/>
      <c r="L367" s="224"/>
      <c r="M367" s="531"/>
      <c r="N367" s="531"/>
      <c r="O367" s="531"/>
      <c r="P367" s="531"/>
      <c r="Q367" s="531"/>
      <c r="R367" s="531"/>
    </row>
    <row r="368" spans="1:18" s="457" customFormat="1" ht="13" customHeight="1">
      <c r="A368" s="224"/>
      <c r="B368" s="17"/>
      <c r="C368" s="527" t="s">
        <v>18</v>
      </c>
      <c r="D368" s="21">
        <f>INDEX(Kappe!L65:N65,1,MATCH(Eingabe!$C$4,Kappe!$L$12:$N$12))</f>
        <v>82.085313531373316</v>
      </c>
      <c r="E368" s="237" t="s">
        <v>2</v>
      </c>
      <c r="F368" s="17"/>
      <c r="G368" s="527" t="s">
        <v>1324</v>
      </c>
      <c r="H368" s="527"/>
      <c r="I368" s="527"/>
      <c r="J368" s="225"/>
      <c r="K368" s="224"/>
      <c r="L368" s="224"/>
      <c r="M368" s="531"/>
      <c r="N368" s="531"/>
      <c r="O368" s="531"/>
      <c r="P368" s="531"/>
      <c r="Q368" s="531"/>
      <c r="R368" s="531"/>
    </row>
    <row r="369" spans="1:18" s="457" customFormat="1" ht="13" customHeight="1">
      <c r="A369" s="224"/>
      <c r="B369" s="17"/>
      <c r="C369" s="17" t="s">
        <v>12</v>
      </c>
      <c r="D369" s="21">
        <f>Kappe!$L$66</f>
        <v>1.2</v>
      </c>
      <c r="E369" s="19" t="s">
        <v>7</v>
      </c>
      <c r="F369" s="17"/>
      <c r="G369" s="527" t="s">
        <v>1324</v>
      </c>
      <c r="H369" s="527"/>
      <c r="I369" s="527"/>
      <c r="J369" s="225"/>
      <c r="K369" s="224"/>
      <c r="L369" s="224"/>
      <c r="M369" s="531"/>
      <c r="N369" s="531"/>
      <c r="O369" s="531"/>
      <c r="P369" s="531"/>
      <c r="Q369" s="531"/>
      <c r="R369" s="531"/>
    </row>
    <row r="370" spans="1:18" s="457" customFormat="1" ht="13" customHeight="1">
      <c r="A370" s="224"/>
      <c r="B370" s="17"/>
      <c r="C370" s="17" t="s">
        <v>72</v>
      </c>
      <c r="D370" s="21">
        <f>INDEX(Kappe!L67:N67,1,MATCH(Eingabe!$C$4,Kappe!$L$12:$N$12))</f>
        <v>68.404427942811097</v>
      </c>
      <c r="E370" s="19" t="s">
        <v>2</v>
      </c>
      <c r="F370" s="17"/>
      <c r="G370" s="527" t="s">
        <v>73</v>
      </c>
      <c r="H370" s="527"/>
      <c r="I370" s="527"/>
      <c r="J370" s="225"/>
      <c r="K370" s="224"/>
      <c r="L370" s="224"/>
      <c r="M370" s="531"/>
      <c r="N370" s="531"/>
      <c r="O370" s="531"/>
      <c r="P370" s="531"/>
      <c r="Q370" s="531"/>
      <c r="R370" s="531"/>
    </row>
    <row r="371" spans="1:18" s="457" customFormat="1" ht="13" customHeight="1">
      <c r="A371" s="224"/>
      <c r="B371" s="17"/>
      <c r="C371" s="527" t="s">
        <v>307</v>
      </c>
      <c r="D371" s="18">
        <f>Kappe!$L$61</f>
        <v>29.921271248249965</v>
      </c>
      <c r="E371" s="19" t="s">
        <v>2</v>
      </c>
      <c r="F371" s="17"/>
      <c r="G371" s="527" t="s">
        <v>75</v>
      </c>
      <c r="H371" s="527"/>
      <c r="I371" s="527"/>
      <c r="J371" s="225"/>
      <c r="K371" s="224"/>
      <c r="L371" s="224"/>
      <c r="M371" s="531"/>
      <c r="N371" s="531"/>
      <c r="O371" s="531"/>
      <c r="P371" s="531"/>
      <c r="Q371" s="531"/>
      <c r="R371" s="531"/>
    </row>
    <row r="372" spans="1:18" s="457" customFormat="1" ht="13" customHeight="1">
      <c r="A372" s="224"/>
      <c r="B372" s="17"/>
      <c r="C372" s="25" t="s">
        <v>91</v>
      </c>
      <c r="D372" s="26">
        <f>D371/D370</f>
        <v>0.43741716944501569</v>
      </c>
      <c r="E372" s="520" t="s">
        <v>7</v>
      </c>
      <c r="F372" s="27"/>
      <c r="G372" s="24" t="s">
        <v>46</v>
      </c>
      <c r="H372" s="527"/>
      <c r="I372" s="527"/>
      <c r="J372" s="225"/>
      <c r="K372" s="224"/>
      <c r="L372" s="224"/>
      <c r="M372" s="531"/>
      <c r="N372" s="531"/>
      <c r="O372" s="531"/>
      <c r="P372" s="531"/>
      <c r="Q372" s="531"/>
      <c r="R372" s="531"/>
    </row>
    <row r="373" spans="1:18" s="457" customFormat="1" ht="5.5" customHeight="1">
      <c r="A373" s="224"/>
      <c r="B373" s="17"/>
      <c r="C373" s="25"/>
      <c r="D373" s="26"/>
      <c r="E373" s="520"/>
      <c r="F373" s="27"/>
      <c r="G373" s="24"/>
      <c r="H373" s="527"/>
      <c r="I373" s="527"/>
      <c r="J373" s="225"/>
      <c r="K373" s="224"/>
      <c r="L373" s="224"/>
      <c r="M373" s="531"/>
      <c r="N373" s="531"/>
      <c r="O373" s="531"/>
      <c r="P373" s="531"/>
      <c r="Q373" s="531"/>
      <c r="R373" s="531"/>
    </row>
    <row r="374" spans="1:18" s="457" customFormat="1" ht="13" customHeight="1">
      <c r="A374" s="1034" t="s">
        <v>518</v>
      </c>
      <c r="B374" s="1034"/>
      <c r="C374" s="1034"/>
      <c r="D374" s="1034"/>
      <c r="E374" s="1034"/>
      <c r="F374" s="1034"/>
      <c r="G374" s="1034"/>
      <c r="H374" s="1034"/>
      <c r="I374" s="1034"/>
      <c r="J374" s="1034"/>
      <c r="K374" s="519"/>
      <c r="L374" s="224"/>
      <c r="M374" s="531"/>
      <c r="N374" s="531"/>
      <c r="O374" s="531"/>
      <c r="P374" s="531"/>
      <c r="Q374" s="531"/>
      <c r="R374" s="531"/>
    </row>
    <row r="375" spans="1:18" s="457" customFormat="1" ht="5.5" customHeight="1">
      <c r="A375" s="224"/>
      <c r="B375" s="17"/>
      <c r="C375" s="25"/>
      <c r="D375" s="26"/>
      <c r="E375" s="520"/>
      <c r="F375" s="27"/>
      <c r="G375" s="24"/>
      <c r="H375" s="527"/>
      <c r="I375" s="527"/>
      <c r="J375" s="225"/>
      <c r="K375" s="224"/>
      <c r="L375" s="224"/>
      <c r="M375" s="531"/>
      <c r="N375" s="531"/>
      <c r="O375" s="531"/>
      <c r="P375" s="531"/>
      <c r="Q375" s="531"/>
      <c r="R375" s="531"/>
    </row>
    <row r="376" spans="1:18" s="457" customFormat="1" ht="13" customHeight="1">
      <c r="A376" s="224"/>
      <c r="B376" s="17"/>
      <c r="C376" s="23" t="s">
        <v>85</v>
      </c>
      <c r="D376" s="21">
        <f>INDEX(Kappe!L89:N89,1,MATCH(Eingabe!$C$4,Kappe!$L$12:$N$12))</f>
        <v>0.13758592058010941</v>
      </c>
      <c r="E376" s="19" t="s">
        <v>7</v>
      </c>
      <c r="F376" s="17"/>
      <c r="G376" s="527" t="s">
        <v>515</v>
      </c>
      <c r="H376" s="527"/>
      <c r="I376" s="527"/>
      <c r="J376" s="225"/>
      <c r="K376" s="224"/>
      <c r="L376" s="224"/>
      <c r="M376" s="531"/>
      <c r="N376" s="531"/>
      <c r="O376" s="531"/>
      <c r="P376" s="531"/>
      <c r="Q376" s="531"/>
      <c r="R376" s="531"/>
    </row>
    <row r="377" spans="1:18" s="457" customFormat="1" ht="13" customHeight="1">
      <c r="A377" s="224"/>
      <c r="B377" s="17"/>
      <c r="C377" s="23" t="s">
        <v>87</v>
      </c>
      <c r="D377" s="21">
        <f>INDEX(Kappe!L90:N90,1,MATCH(Eingabe!$C$4,Kappe!$L$12:$N$12))</f>
        <v>0.98527348951092064</v>
      </c>
      <c r="E377" s="19" t="s">
        <v>7</v>
      </c>
      <c r="F377" s="17"/>
      <c r="G377" s="527" t="s">
        <v>519</v>
      </c>
      <c r="H377" s="527"/>
      <c r="I377" s="527"/>
      <c r="J377" s="225"/>
      <c r="K377" s="224"/>
      <c r="L377" s="224"/>
      <c r="M377" s="531"/>
      <c r="N377" s="531"/>
      <c r="O377" s="531"/>
      <c r="P377" s="531"/>
      <c r="Q377" s="531"/>
      <c r="R377" s="531"/>
    </row>
    <row r="378" spans="1:18" s="457" customFormat="1" ht="2.2999999999999998" customHeight="1">
      <c r="A378" s="224"/>
      <c r="B378" s="17"/>
      <c r="C378" s="23"/>
      <c r="D378" s="21"/>
      <c r="E378" s="19"/>
      <c r="F378" s="17"/>
      <c r="G378" s="527"/>
      <c r="H378" s="527"/>
      <c r="I378" s="527"/>
      <c r="J378" s="225"/>
      <c r="K378" s="224"/>
      <c r="L378" s="224"/>
      <c r="M378" s="531"/>
      <c r="N378" s="531"/>
      <c r="O378" s="531"/>
      <c r="P378" s="531"/>
      <c r="Q378" s="531"/>
      <c r="R378" s="531"/>
    </row>
    <row r="379" spans="1:18" s="457" customFormat="1" ht="13" customHeight="1">
      <c r="A379" s="224"/>
      <c r="B379" s="17"/>
      <c r="C379" s="25" t="s">
        <v>549</v>
      </c>
      <c r="D379" s="26">
        <f>INDEX(Kappe!L92:N92,1,MATCH(Eingabe!$C$4,Kappe!$L$12:$N$12))</f>
        <v>0.93571617507585847</v>
      </c>
      <c r="E379" s="520" t="s">
        <v>7</v>
      </c>
      <c r="F379" s="27"/>
      <c r="G379" s="24" t="s">
        <v>1324</v>
      </c>
      <c r="H379" s="527"/>
      <c r="I379" s="527"/>
      <c r="J379" s="225"/>
      <c r="K379" s="224"/>
      <c r="L379" s="224"/>
      <c r="M379" s="531"/>
      <c r="N379" s="531"/>
      <c r="O379" s="531"/>
      <c r="P379" s="531"/>
      <c r="Q379" s="531"/>
      <c r="R379" s="531"/>
    </row>
    <row r="380" spans="1:18" s="1" customFormat="1" ht="13" customHeight="1">
      <c r="A380" s="531"/>
      <c r="B380" s="531"/>
      <c r="C380" s="531"/>
      <c r="D380" s="531"/>
      <c r="E380" s="531"/>
      <c r="F380" s="531"/>
      <c r="G380" s="531"/>
      <c r="H380" s="531"/>
      <c r="I380" s="531"/>
      <c r="J380" s="531"/>
      <c r="K380" s="531"/>
      <c r="L380" s="531"/>
      <c r="M380" s="531"/>
      <c r="N380" s="531"/>
      <c r="O380" s="531"/>
      <c r="P380" s="531"/>
      <c r="Q380" s="531"/>
      <c r="R380" s="531"/>
    </row>
    <row r="381" spans="1:18" s="1" customFormat="1" ht="13" customHeight="1">
      <c r="A381" s="1033" t="s">
        <v>1362</v>
      </c>
      <c r="B381" s="1033"/>
      <c r="C381" s="1033"/>
      <c r="D381" s="1033"/>
      <c r="E381" s="1033"/>
      <c r="F381" s="1033"/>
      <c r="G381" s="1033"/>
      <c r="H381" s="1033"/>
      <c r="I381" s="1033"/>
      <c r="J381" s="1033"/>
      <c r="K381" s="531"/>
      <c r="L381" s="531"/>
      <c r="M381" s="531"/>
      <c r="N381" s="531"/>
      <c r="O381" s="531"/>
      <c r="P381" s="531"/>
      <c r="Q381" s="531"/>
      <c r="R381" s="531"/>
    </row>
    <row r="382" spans="1:18" s="1" customFormat="1" ht="13" customHeight="1">
      <c r="A382" s="531"/>
      <c r="B382" s="531"/>
      <c r="C382" s="531"/>
      <c r="D382" s="531"/>
      <c r="E382" s="531"/>
      <c r="F382" s="531"/>
      <c r="G382" s="531"/>
      <c r="H382" s="531"/>
      <c r="I382" s="531"/>
      <c r="J382" s="531"/>
      <c r="K382" s="531"/>
      <c r="L382" s="531"/>
      <c r="M382" s="531"/>
      <c r="N382" s="531"/>
      <c r="O382" s="531"/>
      <c r="P382" s="531"/>
      <c r="Q382" s="531"/>
      <c r="R382" s="531"/>
    </row>
    <row r="383" spans="1:18" s="882" customFormat="1" ht="20.9" customHeight="1">
      <c r="A383" s="531"/>
      <c r="B383" s="1098" t="s">
        <v>1363</v>
      </c>
      <c r="C383" s="1098"/>
      <c r="D383" s="1098"/>
      <c r="E383" s="1098"/>
      <c r="F383" s="1098"/>
      <c r="G383" s="1098"/>
      <c r="H383" s="1098"/>
      <c r="I383" s="1098"/>
      <c r="J383" s="1098"/>
    </row>
    <row r="384" spans="1:18" s="1" customFormat="1" ht="16" customHeight="1">
      <c r="A384" s="882"/>
      <c r="B384" s="882"/>
      <c r="C384" s="885" t="s">
        <v>1355</v>
      </c>
      <c r="D384" s="890">
        <f>Eingabe!C26</f>
        <v>90.6</v>
      </c>
      <c r="E384" s="881" t="s">
        <v>98</v>
      </c>
      <c r="F384" s="886"/>
      <c r="G384" s="887" t="s">
        <v>1354</v>
      </c>
      <c r="H384" s="886"/>
      <c r="I384" s="886"/>
      <c r="J384" s="882"/>
      <c r="K384" s="531"/>
      <c r="L384" s="531"/>
      <c r="M384" s="531"/>
      <c r="N384" s="531"/>
      <c r="O384" s="531"/>
      <c r="P384" s="531"/>
      <c r="Q384" s="531"/>
      <c r="R384" s="531"/>
    </row>
    <row r="385" spans="1:18" s="1" customFormat="1" ht="16" customHeight="1">
      <c r="A385" s="531"/>
      <c r="C385" s="239" t="s">
        <v>1356</v>
      </c>
      <c r="D385" s="890">
        <v>500</v>
      </c>
      <c r="E385" s="887" t="s">
        <v>1357</v>
      </c>
      <c r="F385" s="420"/>
      <c r="G385" s="889" t="s">
        <v>1352</v>
      </c>
      <c r="H385" s="531"/>
      <c r="I385" s="531"/>
      <c r="J385" s="531"/>
      <c r="K385" s="531"/>
      <c r="L385" s="531"/>
      <c r="M385" s="531"/>
      <c r="N385" s="531"/>
      <c r="O385" s="531"/>
      <c r="P385" s="531"/>
      <c r="Q385" s="531"/>
      <c r="R385" s="531"/>
    </row>
    <row r="386" spans="1:18" s="1" customFormat="1" ht="16" customHeight="1">
      <c r="A386" s="531"/>
      <c r="C386" s="17" t="s">
        <v>1358</v>
      </c>
      <c r="D386" s="890">
        <v>1.1499999999999999</v>
      </c>
      <c r="E386" s="881" t="s">
        <v>7</v>
      </c>
      <c r="F386" s="420"/>
      <c r="G386" s="889" t="s">
        <v>1353</v>
      </c>
      <c r="H386" s="531"/>
      <c r="I386" s="531"/>
      <c r="J386" s="531"/>
      <c r="K386" s="531"/>
      <c r="L386" s="531"/>
      <c r="M386" s="531"/>
      <c r="N386" s="531"/>
      <c r="O386" s="531"/>
      <c r="P386" s="531"/>
      <c r="Q386" s="531"/>
      <c r="R386" s="531"/>
    </row>
    <row r="387" spans="1:18" s="1" customFormat="1" ht="16" customHeight="1">
      <c r="A387" s="531"/>
      <c r="B387" s="531"/>
      <c r="C387" s="4" t="s">
        <v>1359</v>
      </c>
      <c r="D387" s="888">
        <f>D384*10/D385*D386</f>
        <v>2.0838000000000001</v>
      </c>
      <c r="E387" s="887" t="s">
        <v>1360</v>
      </c>
      <c r="F387" s="420"/>
      <c r="G387" s="889" t="s">
        <v>1361</v>
      </c>
      <c r="H387" s="531"/>
      <c r="I387" s="531"/>
      <c r="J387" s="531"/>
      <c r="K387" s="531"/>
      <c r="L387" s="531"/>
      <c r="M387" s="531"/>
      <c r="N387" s="531"/>
      <c r="O387" s="531"/>
      <c r="P387" s="531"/>
      <c r="Q387" s="531"/>
      <c r="R387" s="531"/>
    </row>
    <row r="388" spans="1:18" s="892" customFormat="1" ht="13" customHeight="1">
      <c r="C388" s="4"/>
      <c r="D388" s="888"/>
      <c r="E388" s="887"/>
      <c r="F388" s="420"/>
      <c r="G388" s="889"/>
    </row>
    <row r="389" spans="1:18" s="892" customFormat="1" ht="19.75" customHeight="1">
      <c r="B389" s="895" t="s">
        <v>1371</v>
      </c>
      <c r="C389" s="4"/>
      <c r="D389" s="888"/>
      <c r="E389" s="887"/>
      <c r="F389" s="420"/>
      <c r="G389" s="889"/>
    </row>
    <row r="390" spans="1:18" s="892" customFormat="1" ht="16.7" customHeight="1">
      <c r="B390" s="895"/>
      <c r="C390" s="4" t="s">
        <v>1368</v>
      </c>
      <c r="D390" s="888">
        <f>ROUNDDOWN(1.54/D387,2)</f>
        <v>0.73</v>
      </c>
      <c r="E390" s="891" t="s">
        <v>551</v>
      </c>
      <c r="F390" s="420"/>
      <c r="G390" s="889" t="s">
        <v>1365</v>
      </c>
    </row>
    <row r="391" spans="1:18" s="892" customFormat="1" ht="16.7" customHeight="1">
      <c r="B391" s="895"/>
      <c r="C391" s="4" t="s">
        <v>1369</v>
      </c>
      <c r="D391" s="888">
        <f>ROUNDDOWN(2.01/D387,2)</f>
        <v>0.96</v>
      </c>
      <c r="E391" s="891" t="s">
        <v>551</v>
      </c>
      <c r="F391" s="420"/>
      <c r="G391" s="889" t="s">
        <v>1366</v>
      </c>
    </row>
    <row r="392" spans="1:18" s="892" customFormat="1" ht="16.7" customHeight="1">
      <c r="C392" s="4" t="s">
        <v>1370</v>
      </c>
      <c r="D392" s="888">
        <f>ROUNDDOWN(3.14/D387,2)</f>
        <v>1.5</v>
      </c>
      <c r="E392" s="891" t="s">
        <v>551</v>
      </c>
      <c r="F392" s="420"/>
      <c r="G392" s="889" t="s">
        <v>1367</v>
      </c>
    </row>
    <row r="393" spans="1:18" s="1" customFormat="1" ht="15.7" customHeight="1">
      <c r="A393" s="531"/>
      <c r="B393" s="531"/>
      <c r="C393" s="531"/>
      <c r="D393" s="531"/>
      <c r="E393" s="531"/>
      <c r="F393" s="531"/>
      <c r="G393" s="531"/>
      <c r="H393" s="531"/>
      <c r="I393" s="531"/>
      <c r="J393" s="531"/>
      <c r="K393" s="531"/>
      <c r="L393" s="531"/>
      <c r="M393" s="531"/>
      <c r="N393" s="531"/>
      <c r="O393" s="531"/>
      <c r="P393" s="531"/>
      <c r="Q393" s="531"/>
      <c r="R393" s="531"/>
    </row>
    <row r="394" spans="1:18" s="1" customFormat="1" ht="59.5" customHeight="1">
      <c r="A394" s="531"/>
      <c r="B394" s="1098" t="s">
        <v>1364</v>
      </c>
      <c r="C394" s="1098"/>
      <c r="D394" s="1098"/>
      <c r="E394" s="1098"/>
      <c r="F394" s="1098"/>
      <c r="G394" s="1098"/>
      <c r="H394" s="1098"/>
      <c r="I394" s="1098"/>
      <c r="J394" s="1098"/>
      <c r="K394" s="531"/>
      <c r="L394" s="531"/>
      <c r="M394" s="531"/>
      <c r="N394" s="531"/>
      <c r="O394" s="531"/>
      <c r="P394" s="531"/>
      <c r="Q394" s="531"/>
      <c r="R394" s="531"/>
    </row>
    <row r="395" spans="1:18" s="1" customFormat="1" ht="13" customHeight="1">
      <c r="A395" s="531"/>
      <c r="B395" s="531"/>
      <c r="C395" s="531"/>
      <c r="D395" s="531"/>
      <c r="E395" s="531"/>
      <c r="F395" s="531"/>
      <c r="G395" s="531"/>
      <c r="H395" s="531"/>
      <c r="I395" s="531"/>
      <c r="J395" s="531"/>
      <c r="K395" s="531"/>
      <c r="L395" s="531"/>
      <c r="M395" s="531"/>
      <c r="N395" s="531"/>
      <c r="O395" s="531"/>
      <c r="P395" s="531"/>
      <c r="Q395" s="531"/>
      <c r="R395" s="531"/>
    </row>
    <row r="396" spans="1:18" s="1" customFormat="1" ht="13" customHeight="1">
      <c r="A396" s="531"/>
      <c r="B396" s="531"/>
      <c r="C396" s="531"/>
      <c r="D396" s="531"/>
      <c r="E396" s="531"/>
      <c r="F396" s="531"/>
      <c r="G396" s="531"/>
      <c r="H396" s="531"/>
      <c r="I396" s="531"/>
      <c r="J396" s="531"/>
      <c r="K396" s="531"/>
      <c r="L396" s="531"/>
      <c r="M396" s="531"/>
      <c r="N396" s="531"/>
      <c r="O396" s="531"/>
      <c r="P396" s="531"/>
      <c r="Q396" s="531"/>
      <c r="R396" s="531"/>
    </row>
    <row r="397" spans="1:18" s="1" customFormat="1" ht="13" customHeight="1">
      <c r="A397" s="531"/>
      <c r="B397" s="531"/>
      <c r="C397" s="531"/>
      <c r="D397" s="531"/>
      <c r="E397" s="531"/>
      <c r="F397" s="531"/>
      <c r="G397" s="531"/>
      <c r="H397" s="531"/>
      <c r="I397" s="531"/>
      <c r="J397" s="531"/>
      <c r="K397" s="531"/>
      <c r="L397" s="531"/>
      <c r="M397" s="531"/>
      <c r="N397" s="531"/>
      <c r="O397" s="531"/>
      <c r="P397" s="531"/>
      <c r="Q397" s="531"/>
      <c r="R397" s="531"/>
    </row>
    <row r="398" spans="1:18" s="1" customFormat="1" ht="13" customHeight="1">
      <c r="A398" s="531"/>
      <c r="B398" s="531"/>
      <c r="C398" s="531"/>
      <c r="D398" s="531"/>
      <c r="E398" s="531"/>
      <c r="F398" s="531"/>
      <c r="G398" s="531"/>
      <c r="H398" s="531"/>
      <c r="I398" s="531"/>
      <c r="J398" s="531"/>
      <c r="K398" s="531"/>
      <c r="L398" s="531"/>
      <c r="M398" s="531"/>
      <c r="N398" s="531"/>
      <c r="O398" s="531"/>
      <c r="P398" s="531"/>
      <c r="Q398" s="531"/>
      <c r="R398" s="531"/>
    </row>
    <row r="399" spans="1:18" s="1" customFormat="1" ht="13" customHeight="1">
      <c r="A399" s="531"/>
      <c r="B399" s="531"/>
      <c r="C399" s="531"/>
      <c r="D399" s="531"/>
      <c r="E399" s="531"/>
      <c r="F399" s="531"/>
      <c r="G399" s="531"/>
      <c r="H399" s="531"/>
      <c r="I399" s="531"/>
      <c r="J399" s="531"/>
      <c r="K399" s="531"/>
      <c r="L399" s="531"/>
      <c r="M399" s="531"/>
      <c r="N399" s="531"/>
      <c r="O399" s="531"/>
      <c r="P399" s="531"/>
      <c r="Q399" s="531"/>
      <c r="R399" s="531"/>
    </row>
    <row r="400" spans="1:18" s="1" customFormat="1" ht="13" customHeight="1">
      <c r="A400" s="531"/>
      <c r="B400" s="531"/>
      <c r="C400" s="531"/>
      <c r="D400" s="531"/>
      <c r="E400" s="531"/>
      <c r="F400" s="531"/>
      <c r="G400" s="531"/>
      <c r="H400" s="531"/>
      <c r="I400" s="531"/>
      <c r="J400" s="531"/>
      <c r="K400" s="531"/>
      <c r="L400" s="531"/>
      <c r="M400" s="531"/>
      <c r="N400" s="531"/>
      <c r="O400" s="531"/>
      <c r="P400" s="531"/>
      <c r="Q400" s="531"/>
      <c r="R400" s="531"/>
    </row>
    <row r="401" spans="1:18" s="1" customFormat="1" ht="13" customHeight="1">
      <c r="A401" s="531"/>
      <c r="B401" s="531"/>
      <c r="C401" s="531"/>
      <c r="D401" s="531"/>
      <c r="E401" s="531"/>
      <c r="F401" s="531"/>
      <c r="G401" s="531"/>
      <c r="H401" s="531"/>
      <c r="I401" s="531"/>
      <c r="J401" s="531"/>
      <c r="K401" s="531"/>
      <c r="L401" s="531"/>
      <c r="M401" s="531"/>
      <c r="N401" s="531"/>
      <c r="O401" s="531"/>
      <c r="P401" s="531"/>
      <c r="Q401" s="531"/>
      <c r="R401" s="531"/>
    </row>
    <row r="402" spans="1:18" s="1" customFormat="1" ht="13" customHeight="1">
      <c r="A402" s="531"/>
      <c r="B402" s="531"/>
      <c r="C402" s="531"/>
      <c r="D402" s="531"/>
      <c r="E402" s="531"/>
      <c r="F402" s="531"/>
      <c r="G402" s="531"/>
      <c r="H402" s="531"/>
      <c r="I402" s="531"/>
      <c r="J402" s="531"/>
      <c r="K402" s="531"/>
      <c r="L402" s="531"/>
      <c r="M402" s="531"/>
      <c r="N402" s="531"/>
      <c r="O402" s="531"/>
      <c r="P402" s="531"/>
      <c r="Q402" s="531"/>
      <c r="R402" s="531"/>
    </row>
    <row r="403" spans="1:18" s="1" customFormat="1" ht="13" customHeight="1">
      <c r="A403" s="531"/>
      <c r="B403" s="531"/>
      <c r="C403" s="531"/>
      <c r="D403" s="531"/>
      <c r="E403" s="531"/>
      <c r="F403" s="531"/>
      <c r="G403" s="531"/>
      <c r="H403" s="531"/>
      <c r="I403" s="531"/>
      <c r="J403" s="531"/>
      <c r="K403" s="531"/>
      <c r="L403" s="531"/>
      <c r="M403" s="531"/>
      <c r="N403" s="531"/>
      <c r="O403" s="531"/>
      <c r="P403" s="531"/>
      <c r="Q403" s="531"/>
      <c r="R403" s="531"/>
    </row>
    <row r="404" spans="1:18" s="1" customFormat="1" ht="13" customHeight="1">
      <c r="A404" s="531"/>
      <c r="B404" s="531"/>
      <c r="C404" s="531"/>
      <c r="D404" s="531"/>
      <c r="E404" s="531"/>
      <c r="F404" s="531"/>
      <c r="G404" s="531"/>
      <c r="H404" s="531"/>
      <c r="I404" s="531"/>
      <c r="J404" s="531"/>
      <c r="K404" s="531"/>
      <c r="L404" s="531"/>
      <c r="M404" s="531"/>
      <c r="N404" s="531"/>
      <c r="O404" s="531"/>
      <c r="P404" s="531"/>
      <c r="Q404" s="531"/>
      <c r="R404" s="531"/>
    </row>
    <row r="405" spans="1:18" s="1" customFormat="1" ht="13" customHeight="1">
      <c r="A405" s="531"/>
      <c r="B405" s="531"/>
      <c r="C405" s="531"/>
      <c r="D405" s="531"/>
      <c r="E405" s="531"/>
      <c r="F405" s="531"/>
      <c r="G405" s="531"/>
      <c r="H405" s="531"/>
      <c r="I405" s="531"/>
      <c r="J405" s="531"/>
      <c r="K405" s="531"/>
      <c r="L405" s="531"/>
      <c r="M405" s="531"/>
      <c r="N405" s="531"/>
      <c r="O405" s="531"/>
      <c r="P405" s="531"/>
      <c r="Q405" s="531"/>
      <c r="R405" s="531"/>
    </row>
    <row r="406" spans="1:18" s="1" customFormat="1" ht="13" customHeight="1">
      <c r="A406" s="531"/>
      <c r="B406" s="531"/>
      <c r="C406" s="531"/>
      <c r="D406" s="531"/>
      <c r="E406" s="531"/>
      <c r="F406" s="531"/>
      <c r="G406" s="531"/>
      <c r="H406" s="531"/>
      <c r="I406" s="531"/>
      <c r="J406" s="531"/>
      <c r="K406" s="531"/>
      <c r="L406" s="531"/>
      <c r="M406" s="531"/>
      <c r="N406" s="531"/>
      <c r="O406" s="531"/>
      <c r="P406" s="531"/>
      <c r="Q406" s="531"/>
      <c r="R406" s="531"/>
    </row>
    <row r="407" spans="1:18" s="1" customFormat="1" ht="13" customHeight="1">
      <c r="A407" s="531"/>
      <c r="B407" s="531"/>
      <c r="C407" s="531"/>
      <c r="D407" s="531"/>
      <c r="E407" s="531"/>
      <c r="F407" s="531"/>
      <c r="G407" s="531"/>
      <c r="H407" s="531"/>
      <c r="I407" s="531"/>
      <c r="J407" s="531"/>
      <c r="K407" s="531"/>
      <c r="L407" s="531"/>
      <c r="M407" s="531"/>
      <c r="N407" s="531"/>
      <c r="O407" s="531"/>
      <c r="P407" s="531"/>
      <c r="Q407" s="531"/>
      <c r="R407" s="531"/>
    </row>
    <row r="408" spans="1:18" s="1" customFormat="1" ht="13" customHeight="1">
      <c r="A408" s="531"/>
      <c r="B408" s="531"/>
      <c r="C408" s="531"/>
      <c r="D408" s="531"/>
      <c r="E408" s="531"/>
      <c r="F408" s="531"/>
      <c r="G408" s="531"/>
      <c r="H408" s="531"/>
      <c r="I408" s="531"/>
      <c r="J408" s="531"/>
      <c r="K408" s="531"/>
      <c r="L408" s="531"/>
      <c r="M408" s="531"/>
      <c r="N408" s="531"/>
      <c r="O408" s="531"/>
      <c r="P408" s="531"/>
      <c r="Q408" s="531"/>
      <c r="R408" s="531"/>
    </row>
    <row r="409" spans="1:18" s="1" customFormat="1" ht="13" customHeight="1">
      <c r="A409" s="531"/>
      <c r="B409" s="531"/>
      <c r="C409" s="531"/>
      <c r="D409" s="531"/>
      <c r="E409" s="531"/>
      <c r="F409" s="531"/>
      <c r="G409" s="531"/>
      <c r="H409" s="531"/>
      <c r="I409" s="531"/>
      <c r="J409" s="531"/>
      <c r="K409" s="531"/>
      <c r="L409" s="531"/>
      <c r="M409" s="531"/>
      <c r="N409" s="531"/>
      <c r="O409" s="531"/>
      <c r="P409" s="531"/>
      <c r="Q409" s="531"/>
      <c r="R409" s="531"/>
    </row>
    <row r="410" spans="1:18" s="1" customFormat="1" ht="13" customHeight="1">
      <c r="A410" s="531"/>
      <c r="B410" s="531"/>
      <c r="C410" s="531"/>
      <c r="D410" s="531"/>
      <c r="E410" s="531"/>
      <c r="F410" s="531"/>
      <c r="G410" s="531"/>
      <c r="H410" s="531"/>
      <c r="I410" s="531"/>
      <c r="J410" s="531"/>
      <c r="K410" s="531"/>
      <c r="L410" s="531"/>
      <c r="M410" s="531"/>
      <c r="N410" s="531"/>
      <c r="O410" s="531"/>
      <c r="P410" s="531"/>
      <c r="Q410" s="531"/>
      <c r="R410" s="531"/>
    </row>
    <row r="411" spans="1:18" s="1" customFormat="1" ht="13" customHeight="1">
      <c r="A411" s="531"/>
      <c r="B411" s="531"/>
      <c r="C411" s="531"/>
      <c r="D411" s="531"/>
      <c r="E411" s="531"/>
      <c r="F411" s="531"/>
      <c r="G411" s="531"/>
      <c r="H411" s="531"/>
      <c r="I411" s="531"/>
      <c r="J411" s="531"/>
      <c r="K411" s="531"/>
      <c r="L411" s="531"/>
      <c r="M411" s="531"/>
      <c r="N411" s="531"/>
      <c r="O411" s="531"/>
      <c r="P411" s="531"/>
      <c r="Q411" s="531"/>
      <c r="R411" s="531"/>
    </row>
    <row r="412" spans="1:18" s="1" customFormat="1" ht="13" customHeight="1">
      <c r="A412" s="531"/>
      <c r="B412" s="531"/>
      <c r="C412" s="531"/>
      <c r="D412" s="531"/>
      <c r="E412" s="531"/>
      <c r="F412" s="531"/>
      <c r="G412" s="531"/>
      <c r="H412" s="531"/>
      <c r="I412" s="531"/>
      <c r="J412" s="531"/>
      <c r="K412" s="531"/>
      <c r="L412" s="531"/>
      <c r="M412" s="531"/>
      <c r="N412" s="531"/>
      <c r="O412" s="531"/>
      <c r="P412" s="531"/>
      <c r="Q412" s="531"/>
      <c r="R412" s="531"/>
    </row>
    <row r="413" spans="1:18" s="1" customFormat="1" ht="13" customHeight="1">
      <c r="A413" s="531"/>
      <c r="B413" s="531"/>
      <c r="C413" s="531"/>
      <c r="D413" s="531"/>
      <c r="E413" s="531"/>
      <c r="F413" s="531"/>
      <c r="G413" s="531"/>
      <c r="H413" s="531"/>
      <c r="I413" s="531"/>
      <c r="J413" s="531"/>
      <c r="K413" s="531"/>
      <c r="L413" s="531"/>
      <c r="M413" s="531"/>
      <c r="N413" s="531"/>
      <c r="O413" s="531"/>
      <c r="P413" s="531"/>
      <c r="Q413" s="531"/>
      <c r="R413" s="531"/>
    </row>
    <row r="414" spans="1:18" s="1" customFormat="1" ht="13" customHeight="1">
      <c r="A414" s="531"/>
      <c r="B414" s="531"/>
      <c r="C414" s="531"/>
      <c r="D414" s="531"/>
      <c r="E414" s="531"/>
      <c r="F414" s="531"/>
      <c r="G414" s="531"/>
      <c r="H414" s="531"/>
      <c r="I414" s="531"/>
      <c r="J414" s="531"/>
      <c r="K414" s="531"/>
      <c r="L414" s="531"/>
      <c r="M414" s="531"/>
      <c r="N414" s="531"/>
      <c r="O414" s="531"/>
      <c r="P414" s="531"/>
      <c r="Q414" s="531"/>
      <c r="R414" s="531"/>
    </row>
    <row r="415" spans="1:18" s="1" customFormat="1" ht="13" customHeight="1">
      <c r="A415" s="531"/>
      <c r="B415" s="531"/>
      <c r="C415" s="531"/>
      <c r="D415" s="531"/>
      <c r="E415" s="531"/>
      <c r="F415" s="531"/>
      <c r="G415" s="531"/>
      <c r="H415" s="531"/>
      <c r="I415" s="531"/>
      <c r="J415" s="531"/>
      <c r="K415" s="531"/>
      <c r="L415" s="531"/>
      <c r="M415" s="531"/>
      <c r="N415" s="531"/>
      <c r="O415" s="531"/>
      <c r="P415" s="531"/>
      <c r="Q415" s="531"/>
      <c r="R415" s="531"/>
    </row>
    <row r="416" spans="1:18" s="1" customFormat="1" ht="13" customHeight="1">
      <c r="A416" s="531"/>
      <c r="B416" s="531"/>
      <c r="C416" s="531"/>
      <c r="D416" s="531"/>
      <c r="E416" s="531"/>
      <c r="F416" s="531"/>
      <c r="G416" s="531"/>
      <c r="H416" s="531"/>
      <c r="I416" s="531"/>
      <c r="J416" s="531"/>
      <c r="K416" s="531"/>
      <c r="L416" s="531"/>
      <c r="M416" s="531"/>
      <c r="N416" s="531"/>
      <c r="O416" s="531"/>
      <c r="P416" s="531"/>
      <c r="Q416" s="531"/>
      <c r="R416" s="531"/>
    </row>
    <row r="417" spans="1:18" s="1" customFormat="1" ht="13" customHeight="1">
      <c r="A417" s="531"/>
      <c r="B417" s="531"/>
      <c r="C417" s="531"/>
      <c r="D417" s="531"/>
      <c r="E417" s="531"/>
      <c r="F417" s="531"/>
      <c r="G417" s="531"/>
      <c r="H417" s="531"/>
      <c r="I417" s="531"/>
      <c r="J417" s="531"/>
      <c r="K417" s="531"/>
      <c r="L417" s="531"/>
      <c r="M417" s="531"/>
      <c r="N417" s="531"/>
      <c r="O417" s="531"/>
      <c r="P417" s="531"/>
      <c r="Q417" s="531"/>
      <c r="R417" s="531"/>
    </row>
    <row r="418" spans="1:18" s="1" customFormat="1" ht="13" customHeight="1">
      <c r="A418" s="531"/>
      <c r="B418" s="531"/>
      <c r="C418" s="531"/>
      <c r="D418" s="531"/>
      <c r="E418" s="531"/>
      <c r="F418" s="531"/>
      <c r="G418" s="531"/>
      <c r="H418" s="531"/>
      <c r="I418" s="531"/>
      <c r="J418" s="531"/>
      <c r="K418" s="531"/>
      <c r="L418" s="531"/>
      <c r="M418" s="531"/>
      <c r="N418" s="531"/>
      <c r="O418" s="531"/>
      <c r="P418" s="531"/>
      <c r="Q418" s="531"/>
      <c r="R418" s="531"/>
    </row>
    <row r="419" spans="1:18" s="1" customFormat="1" ht="13" customHeight="1">
      <c r="A419" s="531"/>
      <c r="B419" s="531"/>
      <c r="C419" s="531"/>
      <c r="D419" s="531"/>
      <c r="E419" s="531"/>
      <c r="F419" s="531"/>
      <c r="G419" s="531"/>
      <c r="H419" s="531"/>
      <c r="I419" s="531"/>
      <c r="J419" s="531"/>
      <c r="K419" s="531"/>
      <c r="L419" s="531"/>
      <c r="M419" s="531"/>
      <c r="N419" s="531"/>
      <c r="O419" s="531"/>
      <c r="P419" s="531"/>
      <c r="Q419" s="531"/>
      <c r="R419" s="531"/>
    </row>
    <row r="420" spans="1:18" s="1" customFormat="1" ht="13" customHeight="1">
      <c r="A420" s="531"/>
      <c r="B420" s="531"/>
      <c r="C420" s="531"/>
      <c r="D420" s="531"/>
      <c r="E420" s="531"/>
      <c r="F420" s="531"/>
      <c r="G420" s="531"/>
      <c r="H420" s="531"/>
      <c r="I420" s="531"/>
      <c r="J420" s="531"/>
      <c r="K420" s="531"/>
      <c r="L420" s="531"/>
      <c r="M420" s="531"/>
      <c r="N420" s="531"/>
      <c r="O420" s="531"/>
      <c r="P420" s="531"/>
      <c r="Q420" s="531"/>
      <c r="R420" s="531"/>
    </row>
    <row r="421" spans="1:18" s="1" customFormat="1" ht="13" customHeight="1">
      <c r="A421" s="531"/>
      <c r="B421" s="531"/>
      <c r="C421" s="531"/>
      <c r="D421" s="531"/>
      <c r="E421" s="531"/>
      <c r="F421" s="531"/>
      <c r="G421" s="531"/>
      <c r="H421" s="531"/>
      <c r="I421" s="531"/>
      <c r="J421" s="531"/>
      <c r="K421" s="531"/>
      <c r="L421" s="531"/>
      <c r="M421" s="531"/>
      <c r="N421" s="531"/>
      <c r="O421" s="531"/>
      <c r="P421" s="531"/>
      <c r="Q421" s="531"/>
      <c r="R421" s="531"/>
    </row>
    <row r="422" spans="1:18" ht="13" customHeight="1">
      <c r="A422" s="531"/>
      <c r="B422" s="531"/>
      <c r="C422" s="531"/>
      <c r="D422" s="531"/>
      <c r="E422" s="531"/>
      <c r="F422" s="531"/>
      <c r="G422" s="531"/>
      <c r="H422" s="531"/>
      <c r="I422" s="531"/>
      <c r="J422" s="531"/>
      <c r="K422" s="531"/>
      <c r="L422" s="531"/>
      <c r="M422" s="531"/>
      <c r="N422" s="531"/>
      <c r="O422" s="531"/>
      <c r="P422" s="531"/>
      <c r="Q422" s="531"/>
      <c r="R422" s="531"/>
    </row>
    <row r="423" spans="1:18" ht="13" customHeight="1">
      <c r="A423" s="531"/>
      <c r="B423" s="531"/>
      <c r="C423" s="531"/>
      <c r="D423" s="531"/>
      <c r="E423" s="531"/>
      <c r="F423" s="531"/>
      <c r="G423" s="531"/>
      <c r="H423" s="531"/>
      <c r="I423" s="531"/>
      <c r="J423" s="531"/>
      <c r="K423" s="531"/>
      <c r="L423" s="531"/>
      <c r="M423" s="531"/>
      <c r="N423" s="531"/>
      <c r="O423" s="531"/>
      <c r="P423" s="531"/>
      <c r="Q423" s="531"/>
      <c r="R423" s="531"/>
    </row>
    <row r="424" spans="1:18" ht="13" customHeight="1">
      <c r="A424" s="531"/>
      <c r="B424" s="531"/>
      <c r="C424" s="531"/>
      <c r="D424" s="531"/>
      <c r="E424" s="531"/>
      <c r="F424" s="531"/>
      <c r="G424" s="531"/>
      <c r="H424" s="531"/>
      <c r="I424" s="531"/>
      <c r="J424" s="531"/>
      <c r="K424" s="531"/>
      <c r="L424" s="531"/>
      <c r="M424" s="531"/>
      <c r="N424" s="531"/>
      <c r="O424" s="531"/>
      <c r="P424" s="531"/>
      <c r="Q424" s="531"/>
      <c r="R424" s="531"/>
    </row>
    <row r="425" spans="1:18" ht="13" customHeight="1">
      <c r="A425" s="531"/>
      <c r="B425" s="531"/>
      <c r="C425" s="531"/>
      <c r="D425" s="531"/>
      <c r="E425" s="531"/>
      <c r="F425" s="531"/>
      <c r="G425" s="531"/>
      <c r="H425" s="531"/>
      <c r="I425" s="531"/>
      <c r="J425" s="531"/>
      <c r="K425" s="531"/>
      <c r="L425" s="531"/>
      <c r="M425" s="531"/>
      <c r="N425" s="531"/>
      <c r="O425" s="531"/>
      <c r="P425" s="531"/>
      <c r="Q425" s="531"/>
      <c r="R425" s="531"/>
    </row>
    <row r="426" spans="1:18" ht="13" customHeight="1">
      <c r="A426" s="531"/>
      <c r="B426" s="531"/>
      <c r="C426" s="531"/>
      <c r="D426" s="531"/>
      <c r="E426" s="531"/>
      <c r="F426" s="531"/>
      <c r="G426" s="531"/>
      <c r="H426" s="531"/>
      <c r="I426" s="531"/>
      <c r="J426" s="531"/>
    </row>
    <row r="427" spans="1:18" ht="13" customHeight="1"/>
    <row r="428" spans="1:18" ht="13" customHeight="1"/>
    <row r="429" spans="1:18" ht="13" customHeight="1"/>
    <row r="430" spans="1:18" ht="13" customHeight="1"/>
    <row r="431" spans="1:18" ht="13" customHeight="1"/>
    <row r="432" spans="1:18" ht="13" customHeight="1"/>
    <row r="433" ht="13" customHeight="1"/>
    <row r="434" ht="13" customHeight="1"/>
    <row r="435" ht="13" customHeight="1"/>
    <row r="436" ht="13" customHeight="1"/>
    <row r="437" ht="13" customHeight="1"/>
    <row r="438" ht="13" customHeight="1"/>
    <row r="439" ht="13" customHeight="1"/>
    <row r="440" ht="13" customHeight="1"/>
    <row r="441" ht="13" customHeight="1"/>
    <row r="442" ht="13" customHeight="1"/>
    <row r="443" ht="13" customHeight="1"/>
    <row r="444" ht="13" customHeight="1"/>
    <row r="445" ht="13" customHeight="1"/>
    <row r="446" ht="13" customHeight="1"/>
    <row r="447" ht="13" customHeight="1"/>
    <row r="448" ht="13" customHeight="1"/>
    <row r="449" ht="13" customHeight="1"/>
    <row r="450" ht="13" customHeight="1"/>
    <row r="451" ht="13" customHeight="1"/>
    <row r="452" ht="13" customHeight="1"/>
    <row r="453" ht="13" customHeight="1"/>
    <row r="454" ht="13" customHeight="1"/>
    <row r="455" ht="13" customHeight="1"/>
    <row r="456" ht="13" customHeight="1"/>
    <row r="457" ht="13" customHeight="1"/>
    <row r="458" ht="13" customHeight="1"/>
    <row r="459" ht="13" customHeight="1"/>
    <row r="460" ht="13" customHeight="1"/>
    <row r="461" ht="13" customHeight="1"/>
    <row r="462" ht="13" customHeight="1"/>
    <row r="463" ht="13" customHeight="1"/>
    <row r="464" ht="13" customHeight="1"/>
    <row r="465" ht="13" customHeight="1"/>
    <row r="466" ht="13" customHeight="1"/>
    <row r="467" ht="13" customHeight="1"/>
    <row r="468" ht="13" customHeight="1"/>
    <row r="469" ht="13" customHeight="1"/>
    <row r="470" ht="13" customHeight="1"/>
    <row r="471" ht="13" customHeight="1"/>
    <row r="472" ht="13" customHeight="1"/>
    <row r="473" ht="13" customHeight="1"/>
    <row r="474" ht="13" customHeight="1"/>
    <row r="475" ht="13" customHeight="1"/>
    <row r="476" ht="13" customHeight="1"/>
    <row r="477" ht="13" customHeight="1"/>
    <row r="478" ht="13" customHeight="1"/>
    <row r="479" ht="13" customHeight="1"/>
    <row r="480" ht="13" customHeight="1"/>
  </sheetData>
  <sheetProtection algorithmName="SHA-512" hashValue="6QPOpqCvbQGES8Ns50v6GvEpJC+Ab7kzgr30zFt9guxjek4NIuDorQC3+l+90SVI7/I0/s/YxFwS4ReVM07/ag==" saltValue="Kb9AVrangKGCESvdGE4X+Q==" spinCount="100000" sheet="1" objects="1" scenarios="1" selectLockedCells="1"/>
  <customSheetViews>
    <customSheetView guid="{39DD0EDE-63E7-470F-AA9E-0FA02F254C3F}" scale="85" showGridLines="0" outlineSymbols="0" zeroValues="0" state="hidden" topLeftCell="A76">
      <selection activeCell="N184" sqref="N184"/>
      <rowBreaks count="4" manualBreakCount="4">
        <brk id="56" max="16383" man="1"/>
        <brk id="107" max="16383" man="1"/>
        <brk id="151" max="16383" man="1"/>
        <brk id="198" max="16383" man="1"/>
      </rowBreaks>
      <pageMargins left="0.82" right="0.49" top="0.9055118110236221" bottom="0.94488188976377963" header="0.51181102362204722" footer="0.51181102362204722"/>
      <pageSetup paperSize="9" orientation="portrait" r:id="rId1"/>
      <headerFooter alignWithMargins="0">
        <oddHeader>&amp;C&amp;G</oddHeader>
        <oddFooter>Seite &amp;P von &amp;N</oddFooter>
      </headerFooter>
    </customSheetView>
  </customSheetViews>
  <mergeCells count="68">
    <mergeCell ref="A381:J381"/>
    <mergeCell ref="B383:J383"/>
    <mergeCell ref="B394:J394"/>
    <mergeCell ref="A110:J110"/>
    <mergeCell ref="B114:I114"/>
    <mergeCell ref="A190:J190"/>
    <mergeCell ref="A248:J248"/>
    <mergeCell ref="A323:J323"/>
    <mergeCell ref="A111:J111"/>
    <mergeCell ref="A117:J117"/>
    <mergeCell ref="A153:J153"/>
    <mergeCell ref="A183:J183"/>
    <mergeCell ref="A316:J316"/>
    <mergeCell ref="A113:J113"/>
    <mergeCell ref="A115:J115"/>
    <mergeCell ref="A325:J325"/>
    <mergeCell ref="C81:D81"/>
    <mergeCell ref="G81:H81"/>
    <mergeCell ref="B88:D88"/>
    <mergeCell ref="C90:D90"/>
    <mergeCell ref="G90:H90"/>
    <mergeCell ref="A86:J86"/>
    <mergeCell ref="B99:D99"/>
    <mergeCell ref="C101:D101"/>
    <mergeCell ref="G101:H101"/>
    <mergeCell ref="B97:D97"/>
    <mergeCell ref="B108:D108"/>
    <mergeCell ref="B66:J66"/>
    <mergeCell ref="A31:E31"/>
    <mergeCell ref="A45:E45"/>
    <mergeCell ref="A34:E34"/>
    <mergeCell ref="B50:C50"/>
    <mergeCell ref="B41:C41"/>
    <mergeCell ref="A44:E44"/>
    <mergeCell ref="G31:J31"/>
    <mergeCell ref="G59:J59"/>
    <mergeCell ref="G57:J57"/>
    <mergeCell ref="G58:J58"/>
    <mergeCell ref="G56:J56"/>
    <mergeCell ref="G55:J55"/>
    <mergeCell ref="A70:J70"/>
    <mergeCell ref="B72:D72"/>
    <mergeCell ref="C74:D74"/>
    <mergeCell ref="G74:H74"/>
    <mergeCell ref="B79:D79"/>
    <mergeCell ref="C1:G1"/>
    <mergeCell ref="C2:G2"/>
    <mergeCell ref="C3:G3"/>
    <mergeCell ref="B62:J62"/>
    <mergeCell ref="C4:G4"/>
    <mergeCell ref="C5:G5"/>
    <mergeCell ref="I5:J5"/>
    <mergeCell ref="B53:C53"/>
    <mergeCell ref="G53:J53"/>
    <mergeCell ref="B9:J9"/>
    <mergeCell ref="B39:C39"/>
    <mergeCell ref="B7:J7"/>
    <mergeCell ref="B59:E59"/>
    <mergeCell ref="A56:E56"/>
    <mergeCell ref="A60:J60"/>
    <mergeCell ref="D48:E48"/>
    <mergeCell ref="A358:J358"/>
    <mergeCell ref="A374:J374"/>
    <mergeCell ref="A192:J192"/>
    <mergeCell ref="A225:J225"/>
    <mergeCell ref="A241:J241"/>
    <mergeCell ref="A250:J250"/>
    <mergeCell ref="A286:J286"/>
  </mergeCells>
  <phoneticPr fontId="25" type="noConversion"/>
  <conditionalFormatting sqref="K84">
    <cfRule type="cellIs" dxfId="14" priority="14" operator="equal">
      <formula>"Verankerung ist nicht zulässig"</formula>
    </cfRule>
    <cfRule type="cellIs" dxfId="13" priority="15" operator="equal">
      <formula>"Verankerung ist zulässig"</formula>
    </cfRule>
  </conditionalFormatting>
  <conditionalFormatting sqref="B112:K112">
    <cfRule type="cellIs" dxfId="12" priority="12" operator="equal">
      <formula>"Verankerung ist nicht zulässig"</formula>
    </cfRule>
    <cfRule type="cellIs" dxfId="11" priority="13" operator="equal">
      <formula>"Verankerung ist zulässig"</formula>
    </cfRule>
  </conditionalFormatting>
  <conditionalFormatting sqref="C96">
    <cfRule type="expression" dxfId="10" priority="11">
      <formula>$C$96&gt;100</formula>
    </cfRule>
  </conditionalFormatting>
  <conditionalFormatting sqref="D96">
    <cfRule type="expression" dxfId="9" priority="10">
      <formula>$D$96&gt;100</formula>
    </cfRule>
  </conditionalFormatting>
  <conditionalFormatting sqref="B97:D97">
    <cfRule type="expression" dxfId="8" priority="9">
      <formula>$B$97="Verankerung Mittelbereich nicht zulässig"</formula>
    </cfRule>
  </conditionalFormatting>
  <conditionalFormatting sqref="C107">
    <cfRule type="expression" dxfId="7" priority="8">
      <formula>$C$107&gt;100</formula>
    </cfRule>
  </conditionalFormatting>
  <conditionalFormatting sqref="D107">
    <cfRule type="expression" dxfId="6" priority="7">
      <formula>$D$107&gt;100</formula>
    </cfRule>
  </conditionalFormatting>
  <conditionalFormatting sqref="B108:D108">
    <cfRule type="expression" dxfId="5" priority="6">
      <formula>$B$108="Verankerung Randbereich nicht zulässig"</formula>
    </cfRule>
  </conditionalFormatting>
  <conditionalFormatting sqref="G57:J57">
    <cfRule type="cellIs" dxfId="4" priority="5" operator="equal">
      <formula>"Falsche Dimension Kopfbolzen"</formula>
    </cfRule>
  </conditionalFormatting>
  <pageMargins left="0.82677165354330717" right="0.47244094488188981" top="0.9055118110236221" bottom="0.55118110236220474" header="0.51181102362204722" footer="0.51181102362204722"/>
  <pageSetup paperSize="9" scale="97" orientation="portrait" horizontalDpi="4294967293" verticalDpi="4294967293" r:id="rId2"/>
  <headerFooter alignWithMargins="0">
    <oddHeader>&amp;C&amp;G</oddHeader>
    <oddFooter>Seite &amp;P von &amp;N</oddFooter>
  </headerFooter>
  <rowBreaks count="6" manualBreakCount="6">
    <brk id="59" max="16383" man="1"/>
    <brk id="112" max="9" man="1"/>
    <brk id="168" max="9" man="1"/>
    <brk id="224" max="9" man="1"/>
    <brk id="285" max="9" man="1"/>
    <brk id="340" max="9" man="1"/>
  </rowBreaks>
  <ignoredErrors>
    <ignoredError sqref="D76 D83 D104 D93" unlockedFormula="1"/>
    <ignoredError sqref="D391" formula="1"/>
  </ignoredError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145" id="{8E9C11F1-63CF-4598-9C3C-54F7414DAC17}">
            <xm:f>Eingabe!AC32=1</xm:f>
            <x14:dxf>
              <font>
                <b/>
                <i val="0"/>
                <color theme="1"/>
              </font>
              <fill>
                <patternFill>
                  <bgColor rgb="FFC00000"/>
                </patternFill>
              </fill>
            </x14:dxf>
          </x14:cfRule>
          <xm:sqref>A44</xm:sqref>
        </x14:conditionalFormatting>
        <x14:conditionalFormatting xmlns:xm="http://schemas.microsoft.com/office/excel/2006/main">
          <x14:cfRule type="expression" priority="3" id="{E5BF5238-8591-4686-8E36-5C6B4495EC24}">
            <xm:f>Eingabe!N2=0</xm:f>
            <x14:dxf>
              <font>
                <color theme="0"/>
              </font>
            </x14:dxf>
          </x14:cfRule>
          <xm:sqref>B48</xm:sqref>
        </x14:conditionalFormatting>
        <x14:conditionalFormatting xmlns:xm="http://schemas.microsoft.com/office/excel/2006/main">
          <x14:cfRule type="expression" priority="2" id="{9CFB4F91-88E9-4618-B426-E7887A1AD857}">
            <xm:f>Eingabe!N2=0</xm:f>
            <x14:dxf>
              <font>
                <color theme="0"/>
              </font>
            </x14:dxf>
          </x14:cfRule>
          <xm:sqref>D48:E48</xm:sqref>
        </x14:conditionalFormatting>
        <x14:conditionalFormatting xmlns:xm="http://schemas.microsoft.com/office/excel/2006/main">
          <x14:cfRule type="expression" priority="1" id="{113BBE62-59D1-4975-8C3E-E8D869F256E3}">
            <xm:f>Eingabe!Q2=0</xm:f>
            <x14:dxf>
              <font>
                <color theme="0"/>
              </font>
            </x14:dxf>
          </x14:cfRule>
          <xm:sqref>F202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5"/>
  <dimension ref="A2:AH20"/>
  <sheetViews>
    <sheetView showGridLines="0" zoomScale="75" zoomScaleNormal="120" workbookViewId="0">
      <selection activeCell="A16" sqref="A16"/>
    </sheetView>
  </sheetViews>
  <sheetFormatPr baseColWidth="10" defaultColWidth="11.33203125" defaultRowHeight="12.7"/>
  <cols>
    <col min="1" max="1" width="18" style="45" customWidth="1"/>
    <col min="2" max="27" width="6.33203125" style="49" customWidth="1"/>
    <col min="28" max="28" width="27.88671875" style="45" customWidth="1"/>
    <col min="29" max="16384" width="11.33203125" style="45"/>
  </cols>
  <sheetData>
    <row r="2" spans="1:34" s="43" customFormat="1" ht="17.850000000000001">
      <c r="A2" s="42" t="s">
        <v>37</v>
      </c>
      <c r="B2" s="54"/>
      <c r="C2" s="54"/>
      <c r="D2" s="54"/>
      <c r="E2" s="54"/>
      <c r="F2" s="63"/>
      <c r="G2" s="63"/>
      <c r="H2" s="63"/>
      <c r="I2" s="63"/>
      <c r="J2" s="63"/>
      <c r="K2" s="63"/>
      <c r="L2" s="63"/>
      <c r="M2" s="63"/>
      <c r="N2" s="63"/>
      <c r="O2" s="63"/>
      <c r="P2" s="63"/>
      <c r="Q2" s="63"/>
      <c r="R2" s="63"/>
      <c r="S2" s="63"/>
      <c r="T2" s="63"/>
      <c r="U2" s="63"/>
      <c r="V2" s="63"/>
      <c r="W2" s="63"/>
      <c r="X2" s="54"/>
      <c r="Y2" s="54"/>
      <c r="Z2" s="54"/>
      <c r="AA2" s="54"/>
      <c r="AB2" s="54" t="s">
        <v>53</v>
      </c>
    </row>
    <row r="3" spans="1:34">
      <c r="A3" s="44" t="s">
        <v>30</v>
      </c>
      <c r="B3" s="55" t="s">
        <v>21</v>
      </c>
      <c r="C3" s="55">
        <f>Tragwerk!B98</f>
        <v>1.5</v>
      </c>
      <c r="F3" s="63"/>
      <c r="G3" s="63"/>
      <c r="H3" s="63"/>
      <c r="I3" s="63"/>
      <c r="J3" s="63"/>
      <c r="K3" s="63"/>
      <c r="L3" s="63"/>
      <c r="M3" s="63"/>
      <c r="N3" s="63"/>
      <c r="O3" s="63"/>
      <c r="P3" s="63"/>
      <c r="Q3" s="63"/>
      <c r="R3" s="63"/>
      <c r="S3" s="63"/>
      <c r="T3" s="63"/>
      <c r="U3" s="63"/>
      <c r="V3" s="63"/>
      <c r="W3" s="63"/>
    </row>
    <row r="4" spans="1:34">
      <c r="A4" s="57" t="s">
        <v>51</v>
      </c>
      <c r="B4" s="61">
        <v>0</v>
      </c>
      <c r="C4" s="61">
        <v>1</v>
      </c>
      <c r="D4" s="61">
        <v>2</v>
      </c>
      <c r="E4" s="61">
        <v>3</v>
      </c>
      <c r="F4" s="63"/>
      <c r="G4" s="63"/>
      <c r="H4" s="63"/>
      <c r="I4" s="63"/>
      <c r="J4" s="63"/>
      <c r="K4" s="63"/>
      <c r="L4" s="63"/>
      <c r="M4" s="63"/>
      <c r="N4" s="63"/>
      <c r="O4" s="63"/>
      <c r="P4" s="63"/>
      <c r="Q4" s="63"/>
      <c r="R4" s="63"/>
      <c r="S4" s="63"/>
      <c r="T4" s="63"/>
      <c r="U4" s="63"/>
      <c r="V4" s="63"/>
      <c r="W4" s="63"/>
      <c r="X4" s="58"/>
      <c r="Y4" s="58"/>
      <c r="Z4" s="58"/>
      <c r="AA4" s="58"/>
      <c r="AB4" s="46" t="str">
        <f>Tragwerk!B102</f>
        <v>Kappenanker HCC M24</v>
      </c>
    </row>
    <row r="5" spans="1:34">
      <c r="A5" s="45" t="s">
        <v>49</v>
      </c>
      <c r="B5" s="56">
        <v>0</v>
      </c>
      <c r="C5" s="56">
        <v>0.18729999999999999</v>
      </c>
      <c r="D5" s="56">
        <v>0.46360000000000001</v>
      </c>
      <c r="E5" s="56">
        <v>0.5</v>
      </c>
      <c r="F5" s="56"/>
      <c r="G5" s="56"/>
      <c r="H5" s="56"/>
      <c r="I5" s="56"/>
      <c r="J5" s="56"/>
      <c r="K5" s="56"/>
      <c r="L5" s="56"/>
      <c r="M5" s="56"/>
      <c r="N5" s="56"/>
      <c r="O5" s="56"/>
      <c r="P5" s="56"/>
      <c r="Q5" s="56"/>
      <c r="R5" s="56"/>
      <c r="S5" s="56"/>
      <c r="T5" s="56"/>
      <c r="U5" s="56"/>
      <c r="V5" s="56"/>
      <c r="W5" s="56"/>
      <c r="X5" s="56"/>
      <c r="Y5" s="56"/>
      <c r="Z5" s="56"/>
      <c r="AA5" s="56"/>
      <c r="AB5" s="56">
        <f>Tragwerk!B103</f>
        <v>7.9260414842648175E-2</v>
      </c>
      <c r="AC5" s="48"/>
      <c r="AD5" s="48"/>
      <c r="AE5" s="48"/>
      <c r="AF5" s="48"/>
      <c r="AG5" s="48"/>
      <c r="AH5" s="48"/>
    </row>
    <row r="6" spans="1:34">
      <c r="A6" s="45" t="s">
        <v>50</v>
      </c>
      <c r="B6" s="56">
        <v>0.5</v>
      </c>
      <c r="C6" s="56">
        <v>0.46360000000000001</v>
      </c>
      <c r="D6" s="56">
        <v>0.18729999999999999</v>
      </c>
      <c r="E6" s="56">
        <v>0</v>
      </c>
      <c r="F6" s="56"/>
      <c r="G6" s="56"/>
      <c r="H6" s="56"/>
      <c r="I6" s="56"/>
      <c r="J6" s="56"/>
      <c r="K6" s="56"/>
      <c r="L6" s="56"/>
      <c r="M6" s="56"/>
      <c r="N6" s="56"/>
      <c r="O6" s="56"/>
      <c r="P6" s="56"/>
      <c r="Q6" s="56"/>
      <c r="R6" s="56"/>
      <c r="S6" s="56"/>
      <c r="T6" s="56"/>
      <c r="U6" s="56"/>
      <c r="V6" s="56"/>
      <c r="W6" s="56"/>
      <c r="X6" s="56"/>
      <c r="Y6" s="56"/>
      <c r="Z6" s="56"/>
      <c r="AA6" s="56"/>
      <c r="AB6" s="56">
        <f>Tragwerk!B104</f>
        <v>0.8924738441650697</v>
      </c>
      <c r="AC6" s="48"/>
      <c r="AD6" s="48"/>
      <c r="AE6" s="48"/>
      <c r="AF6" s="48"/>
      <c r="AG6" s="48"/>
      <c r="AH6" s="48"/>
    </row>
    <row r="7" spans="1:34">
      <c r="A7" s="44" t="s">
        <v>117</v>
      </c>
      <c r="B7" s="56" t="s">
        <v>21</v>
      </c>
      <c r="C7" s="56">
        <f>Kappe!B91</f>
        <v>1.5</v>
      </c>
      <c r="D7" s="62"/>
      <c r="E7" s="62"/>
      <c r="AB7" s="49"/>
    </row>
    <row r="8" spans="1:34">
      <c r="A8" s="57" t="s">
        <v>51</v>
      </c>
      <c r="B8" s="61">
        <v>0</v>
      </c>
      <c r="C8" s="61">
        <v>1</v>
      </c>
      <c r="D8" s="61">
        <v>2</v>
      </c>
      <c r="E8" s="61">
        <v>3</v>
      </c>
      <c r="X8" s="58"/>
      <c r="Y8" s="58"/>
      <c r="Z8" s="58"/>
      <c r="AA8" s="58"/>
      <c r="AB8" s="46" t="str">
        <f>Kappe!B95</f>
        <v>Kappenanker HCC M24</v>
      </c>
    </row>
    <row r="9" spans="1:34">
      <c r="A9" s="45" t="s">
        <v>49</v>
      </c>
      <c r="B9" s="56">
        <v>0</v>
      </c>
      <c r="C9" s="56">
        <v>0.18729999999999999</v>
      </c>
      <c r="D9" s="56">
        <v>0.46360000000000001</v>
      </c>
      <c r="E9" s="56">
        <v>0.5</v>
      </c>
      <c r="F9" s="56"/>
      <c r="G9" s="56"/>
      <c r="H9" s="56"/>
      <c r="I9" s="56"/>
      <c r="J9" s="56"/>
      <c r="K9" s="56"/>
      <c r="L9" s="56"/>
      <c r="M9" s="56"/>
      <c r="N9" s="56"/>
      <c r="O9" s="56"/>
      <c r="P9" s="56"/>
      <c r="Q9" s="56"/>
      <c r="R9" s="56"/>
      <c r="S9" s="56"/>
      <c r="T9" s="56"/>
      <c r="U9" s="56"/>
      <c r="V9" s="56"/>
      <c r="W9" s="56"/>
      <c r="X9" s="56"/>
      <c r="Y9" s="56"/>
      <c r="Z9" s="56"/>
      <c r="AA9" s="56"/>
      <c r="AB9" s="56">
        <f>Kappe!B96</f>
        <v>0.12507810961828131</v>
      </c>
    </row>
    <row r="10" spans="1:34">
      <c r="A10" s="45" t="s">
        <v>50</v>
      </c>
      <c r="B10" s="56">
        <v>0.5</v>
      </c>
      <c r="C10" s="56">
        <v>0.46360000000000001</v>
      </c>
      <c r="D10" s="56">
        <v>0.18729999999999999</v>
      </c>
      <c r="E10" s="56">
        <v>0</v>
      </c>
      <c r="F10" s="56"/>
      <c r="G10" s="56"/>
      <c r="H10" s="56"/>
      <c r="I10" s="56"/>
      <c r="J10" s="56"/>
      <c r="K10" s="56"/>
      <c r="L10" s="56"/>
      <c r="M10" s="56"/>
      <c r="N10" s="56"/>
      <c r="O10" s="56"/>
      <c r="P10" s="56"/>
      <c r="Q10" s="56"/>
      <c r="R10" s="56"/>
      <c r="S10" s="56"/>
      <c r="T10" s="56"/>
      <c r="U10" s="56"/>
      <c r="V10" s="56"/>
      <c r="W10" s="56"/>
      <c r="X10" s="56"/>
      <c r="Y10" s="56"/>
      <c r="Z10" s="56"/>
      <c r="AA10" s="56"/>
      <c r="AB10" s="56">
        <f>Kappe!B97</f>
        <v>0.8924738441650697</v>
      </c>
    </row>
    <row r="11" spans="1:34">
      <c r="AB11" s="49"/>
    </row>
    <row r="12" spans="1:34" s="43" customFormat="1" ht="17.850000000000001">
      <c r="A12" s="42" t="s">
        <v>38</v>
      </c>
      <c r="B12" s="54"/>
      <c r="C12" s="54"/>
      <c r="D12" s="54"/>
      <c r="E12" s="54"/>
      <c r="F12" s="49"/>
      <c r="G12" s="49"/>
      <c r="H12" s="49"/>
      <c r="I12" s="49"/>
      <c r="J12" s="49"/>
      <c r="K12" s="49"/>
      <c r="L12" s="49"/>
      <c r="M12" s="49"/>
      <c r="N12" s="49"/>
      <c r="O12" s="49"/>
      <c r="P12" s="49"/>
      <c r="Q12" s="49"/>
      <c r="R12" s="49"/>
      <c r="S12" s="49"/>
      <c r="T12" s="49"/>
      <c r="U12" s="49"/>
      <c r="V12" s="49"/>
      <c r="W12" s="49"/>
      <c r="X12" s="54"/>
      <c r="Y12" s="54"/>
      <c r="Z12" s="54"/>
      <c r="AA12" s="54"/>
    </row>
    <row r="13" spans="1:34">
      <c r="A13" s="44" t="s">
        <v>30</v>
      </c>
      <c r="B13" s="55" t="s">
        <v>21</v>
      </c>
      <c r="C13" s="55">
        <f>Tragwerk!G98</f>
        <v>1.5</v>
      </c>
    </row>
    <row r="14" spans="1:34">
      <c r="A14" s="57" t="s">
        <v>51</v>
      </c>
      <c r="B14" s="64">
        <v>0</v>
      </c>
      <c r="C14" s="61">
        <v>1</v>
      </c>
      <c r="D14" s="61">
        <v>2</v>
      </c>
      <c r="E14" s="61">
        <v>3</v>
      </c>
      <c r="X14" s="58"/>
      <c r="Y14" s="58"/>
      <c r="Z14" s="58"/>
      <c r="AA14" s="58"/>
      <c r="AB14" s="46" t="str">
        <f>Tragwerk!G102</f>
        <v>Kappenanker HCC M24</v>
      </c>
    </row>
    <row r="15" spans="1:34">
      <c r="A15" s="45" t="s">
        <v>49</v>
      </c>
      <c r="B15" s="56">
        <v>0</v>
      </c>
      <c r="C15" s="56">
        <v>0.18729999999999999</v>
      </c>
      <c r="D15" s="56">
        <v>0.46360000000000001</v>
      </c>
      <c r="E15" s="56">
        <v>0.5</v>
      </c>
      <c r="F15" s="56"/>
      <c r="G15" s="56"/>
      <c r="H15" s="56"/>
      <c r="I15" s="56"/>
      <c r="J15" s="56"/>
      <c r="K15" s="56"/>
      <c r="L15" s="56"/>
      <c r="M15" s="56"/>
      <c r="N15" s="56"/>
      <c r="O15" s="56"/>
      <c r="P15" s="56"/>
      <c r="Q15" s="56"/>
      <c r="R15" s="56"/>
      <c r="S15" s="56"/>
      <c r="T15" s="56"/>
      <c r="U15" s="56"/>
      <c r="V15" s="56"/>
      <c r="W15" s="56"/>
      <c r="X15" s="56"/>
      <c r="Y15" s="56"/>
      <c r="Z15" s="56"/>
      <c r="AA15" s="56"/>
      <c r="AB15" s="47">
        <f>Tragwerk!G103</f>
        <v>6.1943013280388912E-2</v>
      </c>
    </row>
    <row r="16" spans="1:34">
      <c r="A16" s="45" t="s">
        <v>50</v>
      </c>
      <c r="B16" s="56">
        <v>0.5</v>
      </c>
      <c r="C16" s="56">
        <v>0.46360000000000001</v>
      </c>
      <c r="D16" s="56">
        <v>0.18729999999999999</v>
      </c>
      <c r="E16" s="56">
        <v>0</v>
      </c>
      <c r="F16" s="56"/>
      <c r="G16" s="56"/>
      <c r="H16" s="56"/>
      <c r="I16" s="56"/>
      <c r="J16" s="56"/>
      <c r="K16" s="56"/>
      <c r="L16" s="56"/>
      <c r="M16" s="56"/>
      <c r="N16" s="56"/>
      <c r="O16" s="56"/>
      <c r="P16" s="56"/>
      <c r="Q16" s="56"/>
      <c r="R16" s="56"/>
      <c r="S16" s="56"/>
      <c r="T16" s="56"/>
      <c r="U16" s="56"/>
      <c r="V16" s="56"/>
      <c r="W16" s="56"/>
      <c r="X16" s="56"/>
      <c r="Y16" s="56"/>
      <c r="Z16" s="56"/>
      <c r="AA16" s="56"/>
      <c r="AB16" s="47">
        <f>Tragwerk!G104</f>
        <v>0.8924738441650697</v>
      </c>
    </row>
    <row r="17" spans="1:28">
      <c r="A17" s="44" t="s">
        <v>117</v>
      </c>
      <c r="B17" s="56" t="s">
        <v>21</v>
      </c>
      <c r="C17" s="56">
        <f>Kappe!G91</f>
        <v>1.5</v>
      </c>
      <c r="D17" s="62"/>
      <c r="E17" s="62"/>
      <c r="AB17" s="49"/>
    </row>
    <row r="18" spans="1:28">
      <c r="A18" s="57" t="s">
        <v>51</v>
      </c>
      <c r="B18" s="61">
        <v>0</v>
      </c>
      <c r="C18" s="61">
        <v>1</v>
      </c>
      <c r="D18" s="61">
        <v>2</v>
      </c>
      <c r="E18" s="61">
        <v>3</v>
      </c>
      <c r="X18" s="58"/>
      <c r="Y18" s="58"/>
      <c r="Z18" s="58"/>
      <c r="AA18" s="58"/>
      <c r="AB18" s="46" t="str">
        <f>Kappe!G95</f>
        <v>Kappenanker HCC M24</v>
      </c>
    </row>
    <row r="19" spans="1:28">
      <c r="A19" s="45" t="s">
        <v>49</v>
      </c>
      <c r="B19" s="56">
        <v>0</v>
      </c>
      <c r="C19" s="56">
        <v>0.18729999999999999</v>
      </c>
      <c r="D19" s="56">
        <v>0.46360000000000001</v>
      </c>
      <c r="E19" s="56">
        <v>0.5</v>
      </c>
      <c r="F19" s="56"/>
      <c r="G19" s="56"/>
      <c r="H19" s="56"/>
      <c r="I19" s="56"/>
      <c r="J19" s="56"/>
      <c r="K19" s="56"/>
      <c r="L19" s="56"/>
      <c r="M19" s="56"/>
      <c r="N19" s="56"/>
      <c r="O19" s="56"/>
      <c r="P19" s="56"/>
      <c r="Q19" s="56"/>
      <c r="R19" s="56"/>
      <c r="S19" s="56"/>
      <c r="T19" s="56"/>
      <c r="U19" s="56"/>
      <c r="V19" s="56"/>
      <c r="W19" s="56"/>
      <c r="X19" s="56"/>
      <c r="Y19" s="56"/>
      <c r="Z19" s="56"/>
      <c r="AA19" s="56"/>
      <c r="AB19" s="47">
        <f>Kappe!G96</f>
        <v>9.7750119281513961E-2</v>
      </c>
    </row>
    <row r="20" spans="1:28">
      <c r="A20" s="45" t="s">
        <v>50</v>
      </c>
      <c r="B20" s="56">
        <v>0.5</v>
      </c>
      <c r="C20" s="56">
        <v>0.46360000000000001</v>
      </c>
      <c r="D20" s="56">
        <v>0.18729999999999999</v>
      </c>
      <c r="E20" s="56">
        <v>0</v>
      </c>
      <c r="F20" s="56"/>
      <c r="G20" s="56"/>
      <c r="H20" s="56"/>
      <c r="I20" s="56"/>
      <c r="J20" s="56"/>
      <c r="K20" s="56"/>
      <c r="L20" s="56"/>
      <c r="M20" s="56"/>
      <c r="N20" s="56"/>
      <c r="O20" s="56"/>
      <c r="P20" s="56"/>
      <c r="Q20" s="56"/>
      <c r="R20" s="56"/>
      <c r="S20" s="56"/>
      <c r="T20" s="56"/>
      <c r="U20" s="56"/>
      <c r="V20" s="56"/>
      <c r="W20" s="56"/>
      <c r="X20" s="56"/>
      <c r="Y20" s="56"/>
      <c r="Z20" s="56"/>
      <c r="AA20" s="56"/>
      <c r="AB20" s="47">
        <f>Kappe!G97</f>
        <v>0.88599442346694723</v>
      </c>
    </row>
  </sheetData>
  <sheetProtection selectLockedCells="1" selectUnlockedCells="1"/>
  <customSheetViews>
    <customSheetView guid="{39DD0EDE-63E7-470F-AA9E-0FA02F254C3F}" scale="75" showGridLines="0" state="hidden">
      <selection activeCell="A16" sqref="A16"/>
      <pageMargins left="0.78740157499999996" right="0.78740157499999996" top="0.984251969" bottom="0.984251969" header="0.4921259845" footer="0.4921259845"/>
      <pageSetup paperSize="9" orientation="portrait" horizontalDpi="1200" verticalDpi="1200" r:id="rId1"/>
      <headerFooter alignWithMargins="0"/>
    </customSheetView>
  </customSheetViews>
  <phoneticPr fontId="25" type="noConversion"/>
  <pageMargins left="0.78740157499999996" right="0.78740157499999996" top="0.984251969" bottom="0.984251969" header="0.4921259845" footer="0.4921259845"/>
  <pageSetup paperSize="9" orientation="portrait" horizontalDpi="1200" verticalDpi="1200" r:id="rId2"/>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dimension ref="A1:Z114"/>
  <sheetViews>
    <sheetView showGridLines="0" topLeftCell="J71" zoomScale="70" zoomScaleNormal="70" zoomScaleSheetLayoutView="100" workbookViewId="0">
      <selection activeCell="D74" sqref="D74"/>
    </sheetView>
  </sheetViews>
  <sheetFormatPr baseColWidth="10" defaultColWidth="11.33203125" defaultRowHeight="12.7"/>
  <cols>
    <col min="1" max="1" width="18" style="37" customWidth="1"/>
    <col min="2" max="4" width="12.88671875" style="37" customWidth="1"/>
    <col min="5" max="5" width="6.33203125" style="37" customWidth="1"/>
    <col min="6" max="6" width="18" style="37" customWidth="1"/>
    <col min="7" max="9" width="12.88671875" style="37" customWidth="1"/>
    <col min="10" max="10" width="6.33203125" style="37" customWidth="1"/>
    <col min="11" max="11" width="2" style="37" customWidth="1"/>
    <col min="12" max="12" width="18.33203125" style="37" customWidth="1"/>
    <col min="13" max="16" width="12.88671875" style="37" customWidth="1"/>
    <col min="17" max="17" width="20.33203125" style="37" customWidth="1"/>
    <col min="18" max="20" width="12.88671875" style="37" customWidth="1"/>
    <col min="21" max="28" width="11.33203125" style="37"/>
    <col min="29" max="29" width="11.6640625" style="37" customWidth="1"/>
    <col min="30" max="16384" width="11.33203125" style="37"/>
  </cols>
  <sheetData>
    <row r="1" spans="1:22" ht="17.850000000000001">
      <c r="A1" s="96" t="s">
        <v>30</v>
      </c>
      <c r="B1" s="97"/>
      <c r="C1" s="1122" t="s">
        <v>273</v>
      </c>
      <c r="D1" s="1122"/>
      <c r="E1" s="1122"/>
      <c r="F1" s="1122"/>
      <c r="G1" s="98"/>
      <c r="H1" s="98"/>
      <c r="I1" s="98"/>
      <c r="J1" s="99"/>
      <c r="O1" s="145" t="s">
        <v>274</v>
      </c>
      <c r="P1" s="145"/>
    </row>
    <row r="2" spans="1:22">
      <c r="A2" s="1125" t="s">
        <v>34</v>
      </c>
      <c r="B2" s="1126"/>
      <c r="C2" s="1126"/>
      <c r="D2" s="1126"/>
      <c r="E2" s="1126"/>
      <c r="F2" s="1126" t="s">
        <v>35</v>
      </c>
      <c r="G2" s="1126"/>
      <c r="H2" s="1126"/>
      <c r="I2" s="1126"/>
      <c r="J2" s="1127"/>
      <c r="K2" s="72"/>
      <c r="L2" s="72"/>
    </row>
    <row r="3" spans="1:22" ht="15">
      <c r="A3" s="100" t="s">
        <v>149</v>
      </c>
      <c r="B3" s="83" t="str">
        <f>Eingabe!F5</f>
        <v>45</v>
      </c>
      <c r="C3" s="72" t="s">
        <v>13</v>
      </c>
      <c r="D3" s="72"/>
      <c r="E3" s="72"/>
      <c r="F3" s="72" t="s">
        <v>149</v>
      </c>
      <c r="G3" s="83" t="str">
        <f>B3</f>
        <v>45</v>
      </c>
      <c r="H3" s="72" t="s">
        <v>13</v>
      </c>
      <c r="I3" s="72"/>
      <c r="J3" s="101"/>
      <c r="K3" s="72"/>
      <c r="L3" s="100" t="s">
        <v>149</v>
      </c>
      <c r="M3" s="285" t="str">
        <f>Eingabe!F5</f>
        <v>45</v>
      </c>
      <c r="Q3" s="72" t="s">
        <v>149</v>
      </c>
      <c r="R3" s="285" t="str">
        <f>M3</f>
        <v>45</v>
      </c>
    </row>
    <row r="4" spans="1:22">
      <c r="A4" s="100" t="s">
        <v>407</v>
      </c>
      <c r="B4" s="83">
        <f>Eingabe!O8</f>
        <v>8</v>
      </c>
      <c r="C4" s="72" t="s">
        <v>7</v>
      </c>
      <c r="D4" s="72"/>
      <c r="E4" s="72"/>
      <c r="F4" s="72" t="s">
        <v>22</v>
      </c>
      <c r="G4" s="83"/>
      <c r="H4" s="72" t="s">
        <v>7</v>
      </c>
      <c r="I4" s="72"/>
      <c r="J4" s="101"/>
      <c r="K4" s="72"/>
      <c r="L4" s="72"/>
    </row>
    <row r="5" spans="1:22">
      <c r="A5" s="100" t="s">
        <v>491</v>
      </c>
      <c r="B5" s="83">
        <f>Eingabe!$C$7</f>
        <v>1200</v>
      </c>
      <c r="C5" s="72" t="s">
        <v>0</v>
      </c>
      <c r="D5" s="72"/>
      <c r="E5" s="73"/>
      <c r="F5" s="72" t="s">
        <v>14</v>
      </c>
      <c r="G5" s="83">
        <f>Eingabe!$C$7-Eingabe!$C$17</f>
        <v>940</v>
      </c>
      <c r="H5" s="72" t="s">
        <v>0</v>
      </c>
      <c r="I5" s="72"/>
      <c r="J5" s="102"/>
      <c r="K5" s="73"/>
      <c r="L5" s="53"/>
      <c r="M5" s="53"/>
      <c r="N5" s="53"/>
      <c r="O5" s="53"/>
      <c r="P5" s="53"/>
      <c r="Q5" s="53"/>
      <c r="R5" s="53"/>
      <c r="S5" s="53"/>
      <c r="T5" s="53"/>
    </row>
    <row r="6" spans="1:22">
      <c r="A6" s="100" t="s">
        <v>275</v>
      </c>
      <c r="B6" s="74">
        <f>Eingabe!J28</f>
        <v>500</v>
      </c>
      <c r="C6" s="72" t="s">
        <v>0</v>
      </c>
      <c r="D6" s="72"/>
      <c r="E6" s="73"/>
      <c r="F6" s="72" t="s">
        <v>275</v>
      </c>
      <c r="G6" s="74">
        <f>B6</f>
        <v>500</v>
      </c>
      <c r="H6" s="72" t="s">
        <v>0</v>
      </c>
      <c r="I6" s="72"/>
      <c r="J6" s="102"/>
      <c r="K6" s="73"/>
      <c r="L6" s="53" t="s">
        <v>276</v>
      </c>
      <c r="M6" s="210">
        <f>Eingabe!J32</f>
        <v>550</v>
      </c>
      <c r="N6" s="53" t="s">
        <v>0</v>
      </c>
      <c r="O6" s="53"/>
      <c r="P6" s="53"/>
      <c r="Q6" s="53"/>
      <c r="R6" s="53"/>
      <c r="S6" s="53"/>
      <c r="T6" s="53"/>
    </row>
    <row r="7" spans="1:22">
      <c r="A7" s="100" t="s">
        <v>36</v>
      </c>
      <c r="B7" s="83">
        <f>Eingabe!C17</f>
        <v>260</v>
      </c>
      <c r="C7" s="72" t="s">
        <v>0</v>
      </c>
      <c r="D7" s="72"/>
      <c r="E7" s="72"/>
      <c r="F7" s="72" t="s">
        <v>36</v>
      </c>
      <c r="G7" s="83">
        <f>B7</f>
        <v>260</v>
      </c>
      <c r="H7" s="72" t="s">
        <v>0</v>
      </c>
      <c r="I7" s="72"/>
      <c r="J7" s="101"/>
      <c r="K7" s="72"/>
      <c r="L7" s="53"/>
      <c r="M7" s="53"/>
      <c r="N7" s="53"/>
      <c r="O7" s="53"/>
      <c r="P7" s="53"/>
      <c r="Q7" s="53"/>
      <c r="R7" s="53"/>
      <c r="S7" s="53"/>
      <c r="T7" s="53"/>
    </row>
    <row r="8" spans="1:22">
      <c r="A8" s="100" t="s">
        <v>17</v>
      </c>
      <c r="B8" s="83">
        <f>Eingabe!C8</f>
        <v>200</v>
      </c>
      <c r="C8" s="72" t="s">
        <v>0</v>
      </c>
      <c r="D8" s="72"/>
      <c r="E8" s="72"/>
      <c r="F8" s="72" t="s">
        <v>17</v>
      </c>
      <c r="G8" s="83">
        <f>B8</f>
        <v>200</v>
      </c>
      <c r="H8" s="72" t="s">
        <v>0</v>
      </c>
      <c r="I8" s="72"/>
      <c r="J8" s="101"/>
      <c r="K8" s="72"/>
      <c r="L8" s="53"/>
      <c r="M8" s="53"/>
      <c r="N8" s="53"/>
      <c r="O8" s="53"/>
      <c r="P8" s="53"/>
      <c r="Q8" s="53"/>
      <c r="R8" s="53"/>
      <c r="S8" s="53"/>
      <c r="T8" s="53"/>
    </row>
    <row r="9" spans="1:22">
      <c r="A9" s="100" t="s">
        <v>26</v>
      </c>
      <c r="B9" s="83">
        <v>1</v>
      </c>
      <c r="C9" s="72" t="s">
        <v>27</v>
      </c>
      <c r="D9" s="72"/>
      <c r="E9" s="72"/>
      <c r="F9" s="72" t="s">
        <v>26</v>
      </c>
      <c r="G9" s="83">
        <v>1</v>
      </c>
      <c r="H9" s="72" t="s">
        <v>27</v>
      </c>
      <c r="I9" s="72"/>
      <c r="J9" s="101"/>
      <c r="K9" s="72"/>
      <c r="L9" s="53"/>
      <c r="M9" s="53"/>
      <c r="N9" s="53"/>
      <c r="O9" s="53"/>
      <c r="P9" s="53"/>
      <c r="Q9" s="53"/>
      <c r="R9" s="53"/>
      <c r="S9" s="53"/>
      <c r="T9" s="53"/>
    </row>
    <row r="10" spans="1:22">
      <c r="A10" s="100" t="s">
        <v>512</v>
      </c>
      <c r="B10" s="63">
        <f>Eingabe!O105</f>
        <v>8</v>
      </c>
      <c r="C10" s="72" t="s">
        <v>0</v>
      </c>
      <c r="D10" s="53"/>
      <c r="E10" s="53"/>
      <c r="F10" s="53"/>
      <c r="G10" s="63"/>
      <c r="H10" s="53"/>
      <c r="I10" s="53"/>
      <c r="J10" s="101"/>
      <c r="K10" s="72"/>
      <c r="L10" s="53"/>
      <c r="M10" s="53"/>
      <c r="N10" s="53"/>
      <c r="O10" s="53"/>
      <c r="P10" s="53"/>
      <c r="Q10" s="53"/>
      <c r="R10" s="53"/>
      <c r="S10" s="53"/>
      <c r="T10" s="53"/>
    </row>
    <row r="11" spans="1:22">
      <c r="A11" s="100" t="s">
        <v>23</v>
      </c>
      <c r="B11" s="63" t="str">
        <f>IF($B$5&lt;B16,"c &lt; cmin !","ok")</f>
        <v>ok</v>
      </c>
      <c r="C11" s="63" t="str">
        <f>IF($B$5&lt;C16,"c &lt; cmin !","ok")</f>
        <v>ok</v>
      </c>
      <c r="D11" s="63" t="str">
        <f>IF($B$5&lt;D16,"c &lt; cmin !","ok")</f>
        <v>ok</v>
      </c>
      <c r="E11" s="53"/>
      <c r="F11" s="53" t="s">
        <v>23</v>
      </c>
      <c r="G11" s="63" t="str">
        <f>IF($G$5&lt;G16,"c &lt; cmin !","ok")</f>
        <v>ok</v>
      </c>
      <c r="H11" s="63" t="str">
        <f>IF($G$5&lt;H16,"c &lt; cmin !","ok")</f>
        <v>ok</v>
      </c>
      <c r="I11" s="63" t="str">
        <f>IF($G$5&lt;I16,"c &lt; cmin !","ok")</f>
        <v>ok</v>
      </c>
      <c r="J11" s="101"/>
      <c r="K11" s="72"/>
      <c r="L11" s="53"/>
      <c r="M11" s="53"/>
      <c r="N11" s="53"/>
      <c r="O11" s="53"/>
      <c r="P11" s="53"/>
      <c r="Q11" s="53"/>
      <c r="R11" s="53"/>
      <c r="S11" s="53"/>
      <c r="T11" s="53"/>
    </row>
    <row r="12" spans="1:22">
      <c r="A12" s="100" t="s">
        <v>279</v>
      </c>
      <c r="B12" s="63" t="str">
        <f>IF(Eingabe!$G$5="Einreihige Ankeranordnung",IF($B$6&lt;B17,"s &lt; smin !","ok"),IF(OR($B$7&lt;B17,$B$6&lt;B17),"s &lt; smin !","ok"))</f>
        <v>ok</v>
      </c>
      <c r="C12" s="63" t="str">
        <f>IF(Eingabe!$G$5="Einreihige Ankeranordnung",IF($B$6&lt;C17,"s &lt; smin !","ok"),IF(OR($B$7&lt;C17,$B$6&lt;C17),"s &lt; smin !","ok"))</f>
        <v>ok</v>
      </c>
      <c r="D12" s="63" t="str">
        <f>IF(Eingabe!$G$5="Einreihige Ankeranordnung",IF($B$6&lt;D17,"s &lt; smin !","ok"),IF(OR($B$7&lt;D17,$B$6&lt;D17),"s &lt; smin !","ok"))</f>
        <v>ok</v>
      </c>
      <c r="E12" s="53"/>
      <c r="F12" s="53" t="s">
        <v>280</v>
      </c>
      <c r="G12" s="63" t="str">
        <f>IF(Eingabe!$G$5="Einreihige Ankeranordnung",IF($G$6&lt;G17,"s &lt; smin !","ok"),IF(OR($G$7&lt;G17,$G$6&lt;G17),"s &lt; smin !","ok"))</f>
        <v>ok</v>
      </c>
      <c r="H12" s="63" t="str">
        <f>IF(Eingabe!$G$5="Einreihige Ankeranordnung",IF($G$6&lt;H17,"s &lt; smin !","ok"),IF(OR($G$7&lt;H17,$G$6&lt;H17),"s &lt; smin !","ok"))</f>
        <v>ok</v>
      </c>
      <c r="I12" s="63" t="str">
        <f>IF(Eingabe!$G$5="Einreihige Ankeranordnung",IF($G$6&lt;I17,"s &lt; smin !","ok"),IF(OR($G$7&lt;I17,$G$6&lt;I17),"s &lt; smin !","ok"))</f>
        <v>ok</v>
      </c>
      <c r="J12" s="101"/>
      <c r="K12" s="72"/>
      <c r="L12" s="53" t="s">
        <v>277</v>
      </c>
      <c r="M12" s="63" t="str">
        <f>IF(Eingabe!$G$5="Einreihige Ankeranordnung",IF($M$6&lt;B17,"s &lt; smin !","ok"),IF(OR($B$7&lt;B17,$M$6&lt;B17),"s &lt; smin !","ok"))</f>
        <v>ok</v>
      </c>
      <c r="N12" s="63" t="str">
        <f>IF(Eingabe!$G$5="Einreihige Ankeranordnung",IF($M$6&lt;C17,"s &lt; smin !","ok"),IF(OR($B$7&lt;C17,$M$6&lt;C17),"s &lt; smin !","ok"))</f>
        <v>ok</v>
      </c>
      <c r="O12" s="63" t="str">
        <f>IF(Eingabe!$G$5="Einreihige Ankeranordnung",IF($M$6&lt;D17,"s &lt; smin !","ok"),IF(OR($B$7&lt;D17,$M$6&lt;D17),"s &lt; smin !","ok"))</f>
        <v>ok</v>
      </c>
      <c r="P12" s="429"/>
      <c r="Q12" s="53" t="s">
        <v>278</v>
      </c>
      <c r="R12" s="63" t="str">
        <f>IF(Eingabe!$G$5="Einreihige Ankeranordnung",IF($M$6&lt;G17,"s &lt; smin !","ok"),IF(OR($G$7&lt;G17,$M$6&lt;G17),"s &lt; smin !","ok"))</f>
        <v>ok</v>
      </c>
      <c r="S12" s="63" t="str">
        <f>IF(Eingabe!$G$5="Einreihige Ankeranordnung",IF($M$6&lt;H17,"s &lt; smin !","ok"),IF(OR($G$7&lt;H17,$M$6&lt;H17),"s &lt; smin !","ok"))</f>
        <v>ok</v>
      </c>
      <c r="T12" s="63" t="str">
        <f>IF(Eingabe!$G$5="Einreihige Ankeranordnung",IF($M$6&lt;I17,"s &lt; smin !","ok"),IF(OR($G$7&lt;I17,$M$6&lt;I17),"s &lt; smin !","ok"))</f>
        <v>ok</v>
      </c>
    </row>
    <row r="13" spans="1:22">
      <c r="A13" s="100" t="s">
        <v>24</v>
      </c>
      <c r="B13" s="63" t="str">
        <f>IF($B$8&lt;B20,"h &lt; hmin !","ok")</f>
        <v>ok</v>
      </c>
      <c r="C13" s="63" t="str">
        <f>IF($B$8&lt;C20,"h &lt; hmin !","ok")</f>
        <v>ok</v>
      </c>
      <c r="D13" s="63" t="str">
        <f>IF($B$8&lt;D20,"h &lt; hmin !","ok")</f>
        <v>ok</v>
      </c>
      <c r="E13" s="53"/>
      <c r="F13" s="53" t="s">
        <v>24</v>
      </c>
      <c r="G13" s="63" t="str">
        <f>IF($G$8&lt;G20,"h &lt; hmin !","ok")</f>
        <v>ok</v>
      </c>
      <c r="H13" s="63" t="str">
        <f>IF($G$8&lt;H20,"h &lt; hmin !","ok")</f>
        <v>ok</v>
      </c>
      <c r="I13" s="63" t="str">
        <f>IF($G$8&lt;I20,"h &lt; hmin !","ok")</f>
        <v>ok</v>
      </c>
      <c r="J13" s="101"/>
      <c r="K13" s="72"/>
      <c r="L13" s="53"/>
      <c r="M13" s="53"/>
      <c r="N13" s="53"/>
      <c r="O13" s="53"/>
      <c r="P13" s="53"/>
      <c r="Q13" s="53"/>
      <c r="R13" s="53"/>
      <c r="S13" s="53"/>
      <c r="T13" s="53"/>
    </row>
    <row r="14" spans="1:22" ht="31" customHeight="1">
      <c r="A14" s="100"/>
      <c r="B14" s="437" t="s">
        <v>200</v>
      </c>
      <c r="C14" s="437" t="s">
        <v>201</v>
      </c>
      <c r="D14" s="437" t="s">
        <v>202</v>
      </c>
      <c r="E14" s="440"/>
      <c r="F14" s="193"/>
      <c r="G14" s="437" t="str">
        <f>B14</f>
        <v>Kappenanker HCC M16</v>
      </c>
      <c r="H14" s="437" t="str">
        <f>C14</f>
        <v>Kappenanker HCC M20</v>
      </c>
      <c r="I14" s="437" t="str">
        <f>D14</f>
        <v>Kappenanker HCC M24</v>
      </c>
      <c r="J14" s="440"/>
      <c r="K14" s="438"/>
      <c r="L14" s="439"/>
      <c r="M14" s="437" t="s">
        <v>200</v>
      </c>
      <c r="N14" s="437" t="s">
        <v>201</v>
      </c>
      <c r="O14" s="437" t="s">
        <v>202</v>
      </c>
      <c r="P14" s="440"/>
      <c r="Q14" s="439"/>
      <c r="R14" s="437" t="s">
        <v>200</v>
      </c>
      <c r="S14" s="437" t="s">
        <v>201</v>
      </c>
      <c r="T14" s="437" t="s">
        <v>202</v>
      </c>
      <c r="U14" s="440"/>
      <c r="V14" s="437"/>
    </row>
    <row r="15" spans="1:22" ht="15">
      <c r="A15" s="100" t="s">
        <v>559</v>
      </c>
      <c r="B15" s="319">
        <f>Eingabe!C10</f>
        <v>140</v>
      </c>
      <c r="C15" s="319">
        <f>Eingabe!C10</f>
        <v>140</v>
      </c>
      <c r="D15" s="63">
        <f>Eingabe!C10</f>
        <v>140</v>
      </c>
      <c r="E15" s="53" t="s">
        <v>0</v>
      </c>
      <c r="F15" s="72" t="s">
        <v>559</v>
      </c>
      <c r="G15" s="63">
        <f t="shared" ref="G15:G20" si="0">B15</f>
        <v>140</v>
      </c>
      <c r="H15" s="63">
        <f t="shared" ref="H15:I20" si="1">C15</f>
        <v>140</v>
      </c>
      <c r="I15" s="63">
        <f t="shared" si="1"/>
        <v>140</v>
      </c>
      <c r="J15" s="101" t="s">
        <v>0</v>
      </c>
      <c r="K15" s="72"/>
      <c r="L15" s="72" t="s">
        <v>559</v>
      </c>
      <c r="M15" s="319">
        <f>Eingabe!C10</f>
        <v>140</v>
      </c>
      <c r="N15" s="319">
        <f>Eingabe!C10</f>
        <v>140</v>
      </c>
      <c r="O15" s="63">
        <f>Eingabe!C10</f>
        <v>140</v>
      </c>
      <c r="P15" s="429"/>
      <c r="Q15" s="72" t="s">
        <v>559</v>
      </c>
      <c r="R15" s="63">
        <f t="shared" ref="R15:T20" si="2">M15</f>
        <v>140</v>
      </c>
      <c r="S15" s="63">
        <f t="shared" si="2"/>
        <v>140</v>
      </c>
      <c r="T15" s="63">
        <f t="shared" si="2"/>
        <v>140</v>
      </c>
    </row>
    <row r="16" spans="1:22" ht="15">
      <c r="A16" s="100" t="s">
        <v>150</v>
      </c>
      <c r="B16" s="63">
        <v>80</v>
      </c>
      <c r="C16" s="63">
        <v>100</v>
      </c>
      <c r="D16" s="63">
        <v>120</v>
      </c>
      <c r="E16" s="53" t="s">
        <v>0</v>
      </c>
      <c r="F16" s="53" t="s">
        <v>330</v>
      </c>
      <c r="G16" s="63">
        <f t="shared" si="0"/>
        <v>80</v>
      </c>
      <c r="H16" s="63">
        <f t="shared" si="1"/>
        <v>100</v>
      </c>
      <c r="I16" s="63">
        <f t="shared" si="1"/>
        <v>120</v>
      </c>
      <c r="J16" s="101" t="s">
        <v>0</v>
      </c>
      <c r="K16" s="72"/>
      <c r="L16" s="53" t="s">
        <v>330</v>
      </c>
      <c r="M16" s="63">
        <v>80</v>
      </c>
      <c r="N16" s="63">
        <v>100</v>
      </c>
      <c r="O16" s="63">
        <v>120</v>
      </c>
      <c r="P16" s="429"/>
      <c r="Q16" s="53" t="s">
        <v>330</v>
      </c>
      <c r="R16" s="63">
        <f t="shared" si="2"/>
        <v>80</v>
      </c>
      <c r="S16" s="63">
        <f t="shared" si="2"/>
        <v>100</v>
      </c>
      <c r="T16" s="63">
        <f t="shared" si="2"/>
        <v>120</v>
      </c>
    </row>
    <row r="17" spans="1:20" ht="15">
      <c r="A17" s="100" t="s">
        <v>151</v>
      </c>
      <c r="B17" s="63">
        <v>80</v>
      </c>
      <c r="C17" s="63">
        <v>100</v>
      </c>
      <c r="D17" s="63">
        <v>120</v>
      </c>
      <c r="E17" s="53" t="s">
        <v>0</v>
      </c>
      <c r="F17" s="53" t="s">
        <v>331</v>
      </c>
      <c r="G17" s="63">
        <f t="shared" si="0"/>
        <v>80</v>
      </c>
      <c r="H17" s="63">
        <f t="shared" si="1"/>
        <v>100</v>
      </c>
      <c r="I17" s="63">
        <f t="shared" si="1"/>
        <v>120</v>
      </c>
      <c r="J17" s="101" t="s">
        <v>0</v>
      </c>
      <c r="K17" s="72"/>
      <c r="L17" s="53" t="s">
        <v>331</v>
      </c>
      <c r="M17" s="63">
        <v>80</v>
      </c>
      <c r="N17" s="63">
        <v>100</v>
      </c>
      <c r="O17" s="63">
        <v>120</v>
      </c>
      <c r="P17" s="429"/>
      <c r="Q17" s="53" t="s">
        <v>331</v>
      </c>
      <c r="R17" s="63">
        <f t="shared" si="2"/>
        <v>80</v>
      </c>
      <c r="S17" s="63">
        <f t="shared" si="2"/>
        <v>100</v>
      </c>
      <c r="T17" s="63">
        <f t="shared" si="2"/>
        <v>120</v>
      </c>
    </row>
    <row r="18" spans="1:20" ht="15">
      <c r="A18" s="100" t="s">
        <v>152</v>
      </c>
      <c r="B18" s="63">
        <v>80</v>
      </c>
      <c r="C18" s="63">
        <v>100</v>
      </c>
      <c r="D18" s="63">
        <v>120</v>
      </c>
      <c r="E18" s="53" t="s">
        <v>0</v>
      </c>
      <c r="F18" s="53" t="s">
        <v>332</v>
      </c>
      <c r="G18" s="63">
        <f t="shared" si="0"/>
        <v>80</v>
      </c>
      <c r="H18" s="63">
        <f t="shared" si="1"/>
        <v>100</v>
      </c>
      <c r="I18" s="63">
        <f t="shared" si="1"/>
        <v>120</v>
      </c>
      <c r="J18" s="101" t="s">
        <v>0</v>
      </c>
      <c r="K18" s="72"/>
      <c r="L18" s="53" t="s">
        <v>332</v>
      </c>
      <c r="M18" s="63">
        <v>80</v>
      </c>
      <c r="N18" s="63">
        <v>100</v>
      </c>
      <c r="O18" s="63">
        <v>120</v>
      </c>
      <c r="P18" s="429"/>
      <c r="Q18" s="53" t="s">
        <v>332</v>
      </c>
      <c r="R18" s="63">
        <f t="shared" si="2"/>
        <v>80</v>
      </c>
      <c r="S18" s="63">
        <f t="shared" si="2"/>
        <v>100</v>
      </c>
      <c r="T18" s="63">
        <f t="shared" si="2"/>
        <v>120</v>
      </c>
    </row>
    <row r="19" spans="1:20" ht="15">
      <c r="A19" s="100" t="s">
        <v>153</v>
      </c>
      <c r="B19" s="63">
        <v>80</v>
      </c>
      <c r="C19" s="63">
        <v>100</v>
      </c>
      <c r="D19" s="63">
        <v>120</v>
      </c>
      <c r="E19" s="53" t="s">
        <v>0</v>
      </c>
      <c r="F19" s="53" t="s">
        <v>333</v>
      </c>
      <c r="G19" s="63">
        <f t="shared" si="0"/>
        <v>80</v>
      </c>
      <c r="H19" s="63">
        <f t="shared" si="1"/>
        <v>100</v>
      </c>
      <c r="I19" s="63">
        <f t="shared" si="1"/>
        <v>120</v>
      </c>
      <c r="J19" s="101" t="s">
        <v>0</v>
      </c>
      <c r="K19" s="72"/>
      <c r="L19" s="53" t="s">
        <v>333</v>
      </c>
      <c r="M19" s="63">
        <v>80</v>
      </c>
      <c r="N19" s="63">
        <v>100</v>
      </c>
      <c r="O19" s="63">
        <v>120</v>
      </c>
      <c r="P19" s="429"/>
      <c r="Q19" s="53" t="s">
        <v>333</v>
      </c>
      <c r="R19" s="63">
        <f t="shared" si="2"/>
        <v>80</v>
      </c>
      <c r="S19" s="63">
        <f t="shared" si="2"/>
        <v>100</v>
      </c>
      <c r="T19" s="63">
        <f t="shared" si="2"/>
        <v>120</v>
      </c>
    </row>
    <row r="20" spans="1:20" ht="15">
      <c r="A20" s="100" t="s">
        <v>560</v>
      </c>
      <c r="B20" s="63">
        <f>B15+36</f>
        <v>176</v>
      </c>
      <c r="C20" s="63">
        <f>C15+44</f>
        <v>184</v>
      </c>
      <c r="D20" s="63">
        <f>D15+56</f>
        <v>196</v>
      </c>
      <c r="E20" s="53" t="s">
        <v>0</v>
      </c>
      <c r="F20" s="72" t="s">
        <v>560</v>
      </c>
      <c r="G20" s="63">
        <f t="shared" si="0"/>
        <v>176</v>
      </c>
      <c r="H20" s="63">
        <f t="shared" si="1"/>
        <v>184</v>
      </c>
      <c r="I20" s="63">
        <f t="shared" si="1"/>
        <v>196</v>
      </c>
      <c r="J20" s="101" t="s">
        <v>0</v>
      </c>
      <c r="K20" s="72"/>
      <c r="L20" s="72" t="s">
        <v>560</v>
      </c>
      <c r="M20" s="63">
        <f>M15+36</f>
        <v>176</v>
      </c>
      <c r="N20" s="63">
        <f>N15+44</f>
        <v>184</v>
      </c>
      <c r="O20" s="63">
        <f>O15+56</f>
        <v>196</v>
      </c>
      <c r="P20" s="429"/>
      <c r="Q20" s="72" t="s">
        <v>560</v>
      </c>
      <c r="R20" s="63">
        <f t="shared" si="2"/>
        <v>176</v>
      </c>
      <c r="S20" s="63">
        <f t="shared" si="2"/>
        <v>184</v>
      </c>
      <c r="T20" s="63">
        <f t="shared" si="2"/>
        <v>196</v>
      </c>
    </row>
    <row r="21" spans="1:20">
      <c r="A21" s="1129" t="s">
        <v>44</v>
      </c>
      <c r="B21" s="1121"/>
      <c r="C21" s="1121"/>
      <c r="D21" s="1121"/>
      <c r="E21" s="286"/>
      <c r="F21" s="1121" t="s">
        <v>44</v>
      </c>
      <c r="G21" s="1121"/>
      <c r="H21" s="1121"/>
      <c r="I21" s="1121"/>
      <c r="J21" s="287"/>
      <c r="K21" s="72"/>
      <c r="L21" s="1121" t="s">
        <v>44</v>
      </c>
      <c r="M21" s="1121"/>
      <c r="N21" s="1121"/>
      <c r="O21" s="1121"/>
      <c r="P21" s="433"/>
      <c r="Q21" s="1121" t="s">
        <v>44</v>
      </c>
      <c r="R21" s="1121"/>
      <c r="S21" s="1121"/>
      <c r="T21" s="1121"/>
    </row>
    <row r="22" spans="1:20">
      <c r="A22" s="103" t="s">
        <v>1</v>
      </c>
      <c r="B22" s="72"/>
      <c r="C22" s="72"/>
      <c r="D22" s="72"/>
      <c r="E22" s="72"/>
      <c r="F22" s="75" t="s">
        <v>1</v>
      </c>
      <c r="G22" s="72"/>
      <c r="H22" s="72"/>
      <c r="I22" s="72"/>
      <c r="J22" s="101"/>
      <c r="K22" s="72"/>
      <c r="L22" s="75" t="s">
        <v>1</v>
      </c>
      <c r="M22" s="72"/>
      <c r="N22" s="72"/>
      <c r="O22" s="72"/>
      <c r="P22" s="72"/>
      <c r="Q22" s="75" t="s">
        <v>1</v>
      </c>
      <c r="R22" s="72"/>
      <c r="S22" s="72"/>
      <c r="T22" s="72"/>
    </row>
    <row r="23" spans="1:20" ht="15">
      <c r="A23" s="100" t="s">
        <v>154</v>
      </c>
      <c r="B23" s="63">
        <v>110</v>
      </c>
      <c r="C23" s="63">
        <v>172</v>
      </c>
      <c r="D23" s="63">
        <v>247</v>
      </c>
      <c r="E23" s="53" t="s">
        <v>2</v>
      </c>
      <c r="F23" s="53" t="s">
        <v>4</v>
      </c>
      <c r="G23" s="63">
        <f>B23</f>
        <v>110</v>
      </c>
      <c r="H23" s="63">
        <f>C23</f>
        <v>172</v>
      </c>
      <c r="I23" s="63">
        <f>D23</f>
        <v>247</v>
      </c>
      <c r="J23" s="101" t="s">
        <v>2</v>
      </c>
      <c r="K23" s="72"/>
      <c r="L23" s="53" t="s">
        <v>4</v>
      </c>
      <c r="M23" s="63">
        <v>110</v>
      </c>
      <c r="N23" s="63">
        <v>172</v>
      </c>
      <c r="O23" s="63">
        <v>247</v>
      </c>
      <c r="P23" s="429"/>
      <c r="Q23" s="53" t="s">
        <v>4</v>
      </c>
      <c r="R23" s="63">
        <v>110</v>
      </c>
      <c r="S23" s="63">
        <v>172</v>
      </c>
      <c r="T23" s="63">
        <v>247</v>
      </c>
    </row>
    <row r="24" spans="1:20" ht="15">
      <c r="A24" s="100" t="s">
        <v>155</v>
      </c>
      <c r="B24" s="1116">
        <v>1.87</v>
      </c>
      <c r="C24" s="1114"/>
      <c r="D24" s="1114"/>
      <c r="E24" s="53" t="s">
        <v>7</v>
      </c>
      <c r="F24" s="53" t="s">
        <v>3</v>
      </c>
      <c r="G24" s="1114">
        <v>1.87</v>
      </c>
      <c r="H24" s="1114"/>
      <c r="I24" s="1114"/>
      <c r="J24" s="125" t="s">
        <v>7</v>
      </c>
      <c r="K24" s="53"/>
      <c r="L24" s="53" t="s">
        <v>3</v>
      </c>
      <c r="M24" s="1116">
        <v>1.87</v>
      </c>
      <c r="N24" s="1114"/>
      <c r="O24" s="1114"/>
      <c r="P24" s="487"/>
      <c r="Q24" s="53" t="s">
        <v>3</v>
      </c>
      <c r="R24" s="1114">
        <v>1.87</v>
      </c>
      <c r="S24" s="1114"/>
      <c r="T24" s="1114"/>
    </row>
    <row r="25" spans="1:20" ht="15">
      <c r="A25" s="104" t="s">
        <v>156</v>
      </c>
      <c r="B25" s="320">
        <f>$B$9*B23/$B$24</f>
        <v>58.823529411764703</v>
      </c>
      <c r="C25" s="320">
        <f>$B$9*C23/$B$24</f>
        <v>91.97860962566844</v>
      </c>
      <c r="D25" s="320">
        <f>$B$9*D23/$B$24</f>
        <v>132.08556149732618</v>
      </c>
      <c r="E25" s="299" t="s">
        <v>2</v>
      </c>
      <c r="F25" s="299" t="s">
        <v>334</v>
      </c>
      <c r="G25" s="320">
        <f>$G$9*G23/$G$24</f>
        <v>58.823529411764703</v>
      </c>
      <c r="H25" s="320">
        <f>$G$9*H23/$G$24</f>
        <v>91.97860962566844</v>
      </c>
      <c r="I25" s="320">
        <f>$G$9*I23/$G$24</f>
        <v>132.08556149732618</v>
      </c>
      <c r="J25" s="105" t="s">
        <v>2</v>
      </c>
      <c r="K25" s="72"/>
      <c r="L25" s="41" t="s">
        <v>334</v>
      </c>
      <c r="M25" s="297">
        <f>$B$9*M23/$M$24</f>
        <v>58.823529411764703</v>
      </c>
      <c r="N25" s="297">
        <f>$B$9*N23/$M$24</f>
        <v>91.97860962566844</v>
      </c>
      <c r="O25" s="297">
        <f>$B$9*O23/$M$24</f>
        <v>132.08556149732618</v>
      </c>
      <c r="P25" s="432"/>
      <c r="Q25" s="299" t="s">
        <v>334</v>
      </c>
      <c r="R25" s="320">
        <f>$G$9*R23/$R$24</f>
        <v>58.823529411764703</v>
      </c>
      <c r="S25" s="320">
        <f>$G$9*S23/$R$24</f>
        <v>91.97860962566844</v>
      </c>
      <c r="T25" s="320">
        <f>$G$9*T23/$R$24</f>
        <v>132.08556149732618</v>
      </c>
    </row>
    <row r="26" spans="1:20">
      <c r="A26" s="103" t="s">
        <v>132</v>
      </c>
      <c r="B26" s="72"/>
      <c r="C26" s="72"/>
      <c r="D26" s="72"/>
      <c r="E26" s="72"/>
      <c r="F26" s="75" t="s">
        <v>132</v>
      </c>
      <c r="G26" s="72"/>
      <c r="H26" s="72"/>
      <c r="I26" s="72"/>
      <c r="J26" s="101"/>
      <c r="K26" s="72"/>
      <c r="L26" s="75" t="s">
        <v>132</v>
      </c>
      <c r="M26" s="72"/>
      <c r="N26" s="72"/>
      <c r="O26" s="72"/>
      <c r="P26" s="72"/>
    </row>
    <row r="27" spans="1:20" ht="16.149999999999999">
      <c r="A27" s="100" t="s">
        <v>157</v>
      </c>
      <c r="B27" s="82">
        <f>PI()*16*B15*B4/1000</f>
        <v>56.297340352329094</v>
      </c>
      <c r="C27" s="296">
        <f>PI()*20*C15*B4/1000</f>
        <v>70.371675440411366</v>
      </c>
      <c r="D27" s="296">
        <f>PI()*24*D15*B4/1000</f>
        <v>84.446010528493645</v>
      </c>
      <c r="E27" s="53" t="s">
        <v>2</v>
      </c>
      <c r="F27" s="53" t="s">
        <v>6</v>
      </c>
      <c r="G27" s="296">
        <f>PI()*16*G15*B4/1000</f>
        <v>56.297340352329094</v>
      </c>
      <c r="H27" s="296">
        <f>PI()*20*H15*B4/1000</f>
        <v>70.371675440411366</v>
      </c>
      <c r="I27" s="296">
        <f>PI()*24*I15*B4/1000</f>
        <v>84.446010528493645</v>
      </c>
      <c r="J27" s="101" t="s">
        <v>2</v>
      </c>
      <c r="K27" s="189"/>
      <c r="L27" s="72" t="s">
        <v>157</v>
      </c>
      <c r="M27" s="296">
        <f>PI()*16*M15*B4/1000</f>
        <v>56.297340352329094</v>
      </c>
      <c r="N27" s="296">
        <f>PI()*20*N15*B4/1000</f>
        <v>70.371675440411366</v>
      </c>
      <c r="O27" s="296">
        <f>PI()*24*O15*B4/1000</f>
        <v>84.446010528493645</v>
      </c>
      <c r="P27" s="428"/>
      <c r="Q27" s="72" t="s">
        <v>158</v>
      </c>
      <c r="R27" s="296">
        <f>PI()*16*R15*B4/1000</f>
        <v>56.297340352329094</v>
      </c>
      <c r="S27" s="296">
        <f>PI()*20*S15*B4/1000</f>
        <v>70.371675440411366</v>
      </c>
      <c r="T27" s="296">
        <f>PI()*24*T15*B4/1000</f>
        <v>84.446010528493645</v>
      </c>
    </row>
    <row r="28" spans="1:20" ht="15">
      <c r="A28" s="100" t="s">
        <v>159</v>
      </c>
      <c r="B28" s="644">
        <f>MIN(3*B15,467)</f>
        <v>420</v>
      </c>
      <c r="C28" s="644">
        <f>MIN(3*C15,566)</f>
        <v>420</v>
      </c>
      <c r="D28" s="644">
        <f>MIN(3*D15,679)</f>
        <v>420</v>
      </c>
      <c r="E28" s="53" t="s">
        <v>0</v>
      </c>
      <c r="F28" s="53" t="s">
        <v>129</v>
      </c>
      <c r="G28" s="645">
        <f>MIN(3*G15,467)</f>
        <v>420</v>
      </c>
      <c r="H28" s="645">
        <f>MIN(3*H15,566)</f>
        <v>420</v>
      </c>
      <c r="I28" s="645">
        <f>MIN(3*I15,679)</f>
        <v>420</v>
      </c>
      <c r="J28" s="101" t="s">
        <v>0</v>
      </c>
      <c r="K28" s="72"/>
      <c r="L28" s="72" t="s">
        <v>159</v>
      </c>
      <c r="M28" s="645">
        <f>MIN(3*M15,467)</f>
        <v>420</v>
      </c>
      <c r="N28" s="645">
        <f>MIN(3*N15,566)</f>
        <v>420</v>
      </c>
      <c r="O28" s="645">
        <f>MIN(3*O15,679)</f>
        <v>420</v>
      </c>
      <c r="P28" s="429"/>
      <c r="Q28" s="72" t="s">
        <v>159</v>
      </c>
      <c r="R28" s="645">
        <f>MIN(3*R15,467)</f>
        <v>420</v>
      </c>
      <c r="S28" s="645">
        <f>MIN(3*S15,566)</f>
        <v>420</v>
      </c>
      <c r="T28" s="645">
        <f>MIN(3*T15,679)</f>
        <v>420</v>
      </c>
    </row>
    <row r="29" spans="1:20" ht="16.149999999999999">
      <c r="A29" s="100" t="s">
        <v>160</v>
      </c>
      <c r="B29" s="644">
        <f>B28*B28</f>
        <v>176400</v>
      </c>
      <c r="C29" s="644">
        <f>C28*C28</f>
        <v>176400</v>
      </c>
      <c r="D29" s="644">
        <f>D28*D28</f>
        <v>176400</v>
      </c>
      <c r="E29" s="53" t="s">
        <v>16</v>
      </c>
      <c r="F29" s="53" t="s">
        <v>130</v>
      </c>
      <c r="G29" s="644">
        <f>G28*G28</f>
        <v>176400</v>
      </c>
      <c r="H29" s="644">
        <f>H28*H28</f>
        <v>176400</v>
      </c>
      <c r="I29" s="644">
        <f>I28*I28</f>
        <v>176400</v>
      </c>
      <c r="J29" s="101" t="s">
        <v>16</v>
      </c>
      <c r="K29" s="72"/>
      <c r="L29" s="72" t="s">
        <v>160</v>
      </c>
      <c r="M29" s="644">
        <f>M28*M28</f>
        <v>176400</v>
      </c>
      <c r="N29" s="644">
        <f>N28*N28</f>
        <v>176400</v>
      </c>
      <c r="O29" s="644">
        <f>O28*O28</f>
        <v>176400</v>
      </c>
      <c r="P29" s="429"/>
      <c r="Q29" s="72" t="s">
        <v>160</v>
      </c>
      <c r="R29" s="644">
        <f>R28*R28</f>
        <v>176400</v>
      </c>
      <c r="S29" s="644">
        <f>S28*S28</f>
        <v>176400</v>
      </c>
      <c r="T29" s="644">
        <f>T28*T28</f>
        <v>176400</v>
      </c>
    </row>
    <row r="30" spans="1:20" ht="15">
      <c r="A30" s="100" t="s">
        <v>161</v>
      </c>
      <c r="B30" s="210">
        <f>MIN((B28),$B$6)*IF(Eingabe!$G$5="Einreihige Ankeranordnung",MIN((B28)/2+MIN((B28)/2,$B$5)),MIN((B28),MIN((B28)/2,$B$5)+MIN((B28)/2,$B$7/2)))</f>
        <v>142800</v>
      </c>
      <c r="C30" s="210">
        <f>MIN((C28),$B$6)*IF(Eingabe!$G$5="Einreihige Ankeranordnung",MIN((C28)/2+MIN((C28)/2,$B$5)),MIN((C28),MIN((C28)/2,$B$5)+MIN((C28)/2,$B$7/2)))</f>
        <v>142800</v>
      </c>
      <c r="D30" s="210">
        <f>MIN((D28),$B$6)*IF(Eingabe!$G$5="Einreihige Ankeranordnung",MIN((D28)/2+MIN((D28)/2,$B$5)),MIN((D28),MIN((D28)/2,$B$5)+MIN((D28)/2,$B$7/2)))</f>
        <v>142800</v>
      </c>
      <c r="E30" s="53" t="s">
        <v>16</v>
      </c>
      <c r="F30" s="53" t="s">
        <v>131</v>
      </c>
      <c r="G30" s="210">
        <f>MIN((G28),$G$6)*IF(Eingabe!$G$5="Einreihige Ankeranordnung",MIN((G28)/2+MIN((G28)/2,$G$5)),MIN((G28),MIN((G28)/2,$G$5)+MIN((G28)/2,$G$7/2)))</f>
        <v>142800</v>
      </c>
      <c r="H30" s="210">
        <f>MIN((H28),$G$6)*IF(Eingabe!$G$5="Einreihige Ankeranordnung",MIN((H28)/2+MIN((H28)/2,$G$5)),MIN((H28),MIN((H28)/2,$G$5)+MIN((H28)/2,$G$7/2)))</f>
        <v>142800</v>
      </c>
      <c r="I30" s="210">
        <f>MIN((I28),$G$6)*IF(Eingabe!$G$5="Einreihige Ankeranordnung",MIN((I28)/2+MIN((I28)/2,$G$5)),MIN((I28),MIN((I28)/2,$G$5)+MIN((I28)/2,$G$7/2)))</f>
        <v>142800</v>
      </c>
      <c r="J30" s="101" t="s">
        <v>16</v>
      </c>
      <c r="K30" s="298"/>
      <c r="L30" s="72" t="s">
        <v>161</v>
      </c>
      <c r="M30" s="210">
        <f>MIN((M28),$M$6)*IF(Eingabe!$G$5="Einreihige Ankeranordnung",MIN((M28)/2+MIN((M28)/2,$B$5)),MIN((M28),MIN((M28)/2,$B$5)+MIN((M28)/2,$B$7/2)))</f>
        <v>142800</v>
      </c>
      <c r="N30" s="210">
        <f>MIN((N28),$M$6)*IF(Eingabe!$G$5="Einreihige Ankeranordnung",MIN((N28)/2+MIN((N28)/2,$B$5)),MIN((N28),MIN((N28)/2,$B$5)+MIN((N28)/2,$B$7/2)))</f>
        <v>142800</v>
      </c>
      <c r="O30" s="210">
        <f>MIN((O28),$M$6)*IF(Eingabe!$G$5="Einreihige Ankeranordnung",MIN((O28)/2+MIN((O28)/2,$B$5)),MIN((O28),MIN((O28)/2,$B$5)+MIN((O28)/2,$B$7/2)))</f>
        <v>142800</v>
      </c>
      <c r="P30" s="210"/>
      <c r="Q30" s="53" t="s">
        <v>131</v>
      </c>
      <c r="R30" s="210">
        <f>MIN((R28),$M$6)*IF(Eingabe!$G$5="Einreihige Ankeranordnung",MIN((R28)/2+MIN((R28)/2,$G$5)),MIN((R28),MIN((R28)/2,$G$5)+MIN((R28)/2,$G$7/2)))</f>
        <v>142800</v>
      </c>
      <c r="S30" s="210">
        <f>MIN((S28),$M$6)*IF(Eingabe!$G$5="Einreihige Ankeranordnung",MIN((S28)/2+MIN((S28)/2,$G$5)),MIN((S28),MIN((S28)/2,$G$5)+MIN((S28)/2,$G$7/2)))</f>
        <v>142800</v>
      </c>
      <c r="T30" s="210">
        <f>MIN((T28),$M$6)*IF(Eingabe!$G$5="Einreihige Ankeranordnung",MIN((T28)/2+MIN((T28)/2,$G$5)),MIN((T28),MIN((T28)/2,$G$5)+MIN((T28)/2,$G$7/2)))</f>
        <v>142800</v>
      </c>
    </row>
    <row r="31" spans="1:20" ht="15">
      <c r="A31" s="100" t="s">
        <v>162</v>
      </c>
      <c r="B31" s="82">
        <f>MIN(0.7+((0.3*Eingabe!C7)/(B28/2)),1)</f>
        <v>1</v>
      </c>
      <c r="C31" s="296">
        <f>MIN(0.7+((0.3*Eingabe!C7)/(C28/2)),1)</f>
        <v>1</v>
      </c>
      <c r="D31" s="296">
        <f>MIN(0.7+((0.3*Eingabe!C7)/(D28/2)),1)</f>
        <v>1</v>
      </c>
      <c r="E31" s="53" t="s">
        <v>7</v>
      </c>
      <c r="F31" s="53" t="s">
        <v>133</v>
      </c>
      <c r="G31" s="296">
        <f>MIN(0.7+((0.3*Eingabe!C7)/(G28/2)),1)</f>
        <v>1</v>
      </c>
      <c r="H31" s="296">
        <f>MIN(0.7+((0.3*Eingabe!C7)/(H28/2)),1)</f>
        <v>1</v>
      </c>
      <c r="I31" s="296">
        <f>MIN(0.7+((0.3*Eingabe!C7)/(I28/2)),1)</f>
        <v>1</v>
      </c>
      <c r="J31" s="101" t="s">
        <v>7</v>
      </c>
      <c r="K31" s="72"/>
      <c r="L31" s="72" t="s">
        <v>162</v>
      </c>
      <c r="M31" s="296">
        <f>MIN(0.7+((0.3*Eingabe!C7)/(M28/2)),1)</f>
        <v>1</v>
      </c>
      <c r="N31" s="296">
        <f>MIN(0.7+((0.3*Eingabe!C7)/(N28/2)),1)</f>
        <v>1</v>
      </c>
      <c r="O31" s="296">
        <f>MIN(0.7+((0.3*Eingabe!C7)/(O28/2)),1)</f>
        <v>1</v>
      </c>
      <c r="P31" s="428"/>
      <c r="Q31" s="72" t="s">
        <v>162</v>
      </c>
      <c r="R31" s="296">
        <f>MIN(0.7+((0.3*Eingabe!C7)/(R28/2)),1)</f>
        <v>1</v>
      </c>
      <c r="S31" s="296">
        <f>MIN(0.7+((0.3*Eingabe!C7)/(S28/2)),1)</f>
        <v>1</v>
      </c>
      <c r="T31" s="296">
        <f>MIN(0.7+((0.3*Eingabe!C7)/(T28/2)),1)</f>
        <v>1</v>
      </c>
    </row>
    <row r="32" spans="1:20" ht="15">
      <c r="A32" s="100" t="s">
        <v>163</v>
      </c>
      <c r="B32" s="82">
        <f>MIN(1,0.5+B15/200)</f>
        <v>1</v>
      </c>
      <c r="C32" s="296">
        <f>MIN(1,0.5+C15/200)</f>
        <v>1</v>
      </c>
      <c r="D32" s="296">
        <f>MIN(1,0.5+D15/200)</f>
        <v>1</v>
      </c>
      <c r="E32" s="53" t="s">
        <v>7</v>
      </c>
      <c r="F32" s="53" t="s">
        <v>104</v>
      </c>
      <c r="G32" s="296">
        <f>MIN(1,0.5+G15/200)</f>
        <v>1</v>
      </c>
      <c r="H32" s="296">
        <f>MIN(1,0.5+H15/200)</f>
        <v>1</v>
      </c>
      <c r="I32" s="296">
        <f>MIN(1,0.5+I15/200)</f>
        <v>1</v>
      </c>
      <c r="J32" s="101" t="s">
        <v>7</v>
      </c>
      <c r="K32" s="72"/>
      <c r="L32" s="72" t="s">
        <v>163</v>
      </c>
      <c r="M32" s="296">
        <f>MIN(1,0.5+M15/200)</f>
        <v>1</v>
      </c>
      <c r="N32" s="296">
        <f>MIN(1,0.5+N15/200)</f>
        <v>1</v>
      </c>
      <c r="O32" s="296">
        <f>MIN(1,0.5+O15/200)</f>
        <v>1</v>
      </c>
      <c r="P32" s="428"/>
      <c r="Q32" s="72" t="s">
        <v>163</v>
      </c>
      <c r="R32" s="296">
        <f>MIN(1,0.5+R15/200)</f>
        <v>1</v>
      </c>
      <c r="S32" s="296">
        <f>MIN(1,0.5+S15/200)</f>
        <v>1</v>
      </c>
      <c r="T32" s="296">
        <f>MIN(1,0.5+T15/200)</f>
        <v>1</v>
      </c>
    </row>
    <row r="33" spans="1:22" ht="15">
      <c r="A33" s="100" t="s">
        <v>164</v>
      </c>
      <c r="B33" s="83">
        <v>1.04</v>
      </c>
      <c r="C33" s="63">
        <v>1.04</v>
      </c>
      <c r="D33" s="63">
        <v>1.04</v>
      </c>
      <c r="E33" s="53" t="s">
        <v>7</v>
      </c>
      <c r="F33" s="53" t="s">
        <v>110</v>
      </c>
      <c r="G33" s="63">
        <v>1.04</v>
      </c>
      <c r="H33" s="63">
        <v>1.04</v>
      </c>
      <c r="I33" s="63">
        <v>1.04</v>
      </c>
      <c r="J33" s="101" t="s">
        <v>7</v>
      </c>
      <c r="K33" s="72"/>
      <c r="L33" s="72" t="s">
        <v>164</v>
      </c>
      <c r="M33" s="63">
        <v>1.04</v>
      </c>
      <c r="N33" s="63">
        <v>1.04</v>
      </c>
      <c r="O33" s="63">
        <v>1.04</v>
      </c>
      <c r="P33" s="429"/>
      <c r="Q33" s="72" t="s">
        <v>164</v>
      </c>
      <c r="R33" s="63">
        <v>1.04</v>
      </c>
      <c r="S33" s="63">
        <v>1.04</v>
      </c>
      <c r="T33" s="63">
        <v>1.04</v>
      </c>
    </row>
    <row r="34" spans="1:22" ht="15">
      <c r="A34" s="100" t="s">
        <v>165</v>
      </c>
      <c r="B34" s="83">
        <v>1.07</v>
      </c>
      <c r="C34" s="63">
        <v>1.07</v>
      </c>
      <c r="D34" s="63">
        <v>1.07</v>
      </c>
      <c r="E34" s="53" t="s">
        <v>7</v>
      </c>
      <c r="F34" s="53" t="s">
        <v>111</v>
      </c>
      <c r="G34" s="63">
        <v>1.07</v>
      </c>
      <c r="H34" s="63">
        <v>1.07</v>
      </c>
      <c r="I34" s="63">
        <v>1.07</v>
      </c>
      <c r="J34" s="101" t="s">
        <v>7</v>
      </c>
      <c r="K34" s="72"/>
      <c r="L34" s="72" t="s">
        <v>165</v>
      </c>
      <c r="M34" s="63">
        <v>1.07</v>
      </c>
      <c r="N34" s="63">
        <v>1.07</v>
      </c>
      <c r="O34" s="63">
        <v>1.07</v>
      </c>
      <c r="P34" s="429"/>
      <c r="Q34" s="72" t="s">
        <v>165</v>
      </c>
      <c r="R34" s="63">
        <v>1.07</v>
      </c>
      <c r="S34" s="63">
        <v>1.07</v>
      </c>
      <c r="T34" s="63">
        <v>1.07</v>
      </c>
    </row>
    <row r="35" spans="1:22" ht="15">
      <c r="A35" s="100" t="s">
        <v>166</v>
      </c>
      <c r="B35" s="83">
        <v>1.0900000000000001</v>
      </c>
      <c r="C35" s="63">
        <v>1.0900000000000001</v>
      </c>
      <c r="D35" s="63">
        <v>1.0900000000000001</v>
      </c>
      <c r="E35" s="53" t="s">
        <v>7</v>
      </c>
      <c r="F35" s="53" t="s">
        <v>112</v>
      </c>
      <c r="G35" s="63">
        <v>1.0900000000000001</v>
      </c>
      <c r="H35" s="63">
        <v>1.0900000000000001</v>
      </c>
      <c r="I35" s="63">
        <v>1.0900000000000001</v>
      </c>
      <c r="J35" s="101" t="s">
        <v>7</v>
      </c>
      <c r="K35" s="72"/>
      <c r="L35" s="72" t="s">
        <v>166</v>
      </c>
      <c r="M35" s="63">
        <v>1.0900000000000001</v>
      </c>
      <c r="N35" s="63">
        <v>1.0900000000000001</v>
      </c>
      <c r="O35" s="63">
        <v>1.0900000000000001</v>
      </c>
      <c r="P35" s="429"/>
      <c r="Q35" s="72" t="s">
        <v>166</v>
      </c>
      <c r="R35" s="63">
        <v>1.0900000000000001</v>
      </c>
      <c r="S35" s="63">
        <v>1.0900000000000001</v>
      </c>
      <c r="T35" s="63">
        <v>1.0900000000000001</v>
      </c>
    </row>
    <row r="36" spans="1:22">
      <c r="A36" s="106"/>
      <c r="B36" s="89"/>
      <c r="C36" s="90"/>
      <c r="D36" s="90"/>
      <c r="E36" s="88"/>
      <c r="F36" s="88"/>
      <c r="G36" s="89"/>
      <c r="H36" s="89"/>
      <c r="I36" s="89"/>
      <c r="J36" s="107"/>
      <c r="K36" s="95"/>
      <c r="L36" s="72"/>
    </row>
    <row r="37" spans="1:22">
      <c r="A37" s="106"/>
      <c r="B37" s="89"/>
      <c r="C37" s="90"/>
      <c r="D37" s="90"/>
      <c r="E37" s="88"/>
      <c r="F37" s="88"/>
      <c r="G37" s="89"/>
      <c r="H37" s="89"/>
      <c r="I37" s="89"/>
      <c r="J37" s="107"/>
      <c r="K37" s="95"/>
      <c r="L37" s="72"/>
    </row>
    <row r="38" spans="1:22" s="189" customFormat="1" ht="15">
      <c r="A38" s="124" t="s">
        <v>108</v>
      </c>
      <c r="B38" s="1114">
        <f>(IF(OR(Eingabe!C24="Anprall Fahrzeugrückhaltesystem",Eingabe!C24="Anprall Schrammbord"),1.2,1.5))*1</f>
        <v>1.2</v>
      </c>
      <c r="C38" s="1114"/>
      <c r="D38" s="1114"/>
      <c r="E38" s="53"/>
      <c r="F38" s="53" t="s">
        <v>108</v>
      </c>
      <c r="G38" s="1114">
        <f>(IF(OR(Eingabe!C24="Anprall Fahrzeugrückhaltesystem",Eingabe!C24="Anprall Schrammbord"),1.2,1.5))*1</f>
        <v>1.2</v>
      </c>
      <c r="H38" s="1114"/>
      <c r="I38" s="1114"/>
      <c r="J38" s="283"/>
      <c r="L38" s="53" t="s">
        <v>108</v>
      </c>
      <c r="M38" s="1114">
        <f>(IF(OR(Eingabe!C24="Anprall Fahrzeugrückhaltesystem",Eingabe!C24="Anprall Schrammbord"),1.2,1.5))*1</f>
        <v>1.2</v>
      </c>
      <c r="N38" s="1114"/>
      <c r="O38" s="1114"/>
      <c r="P38" s="429"/>
      <c r="Q38" s="53" t="s">
        <v>108</v>
      </c>
      <c r="R38" s="1114">
        <f>(IF(OR(Eingabe!C24="Anprall Fahrzeugrückhaltesystem",Eingabe!C24="Anprall Schrammbord"),1.2,1.5))*1</f>
        <v>1.2</v>
      </c>
      <c r="S38" s="1114"/>
      <c r="T38" s="1114"/>
      <c r="U38" s="401"/>
      <c r="V38" s="401"/>
    </row>
    <row r="39" spans="1:22" ht="15">
      <c r="A39" s="110" t="s">
        <v>109</v>
      </c>
      <c r="B39" s="320">
        <f>(IF(B3="25",1,IF(B3="30",1,IF(B3="37",1.04,IF(B3="45",1.04,IF(B3="50",1.07,IF(B3="55",1.07,IF(B3="60",1.09,"Fehler"))))))))*B27*B30*B31*B32/B29/B38</f>
        <v>39.497499104332476</v>
      </c>
      <c r="C39" s="320">
        <f>(IF(B3="25",1,IF(B3="30",1,IF(B3="37",1.04,IF(B3="45",1.04,IF(B3="50",1.07,IF(B3="55",1.07,IF(B3="60",1.09,"Fehler"))))))))*C27*C30*C31*C32/C29/B38</f>
        <v>49.371873880415592</v>
      </c>
      <c r="D39" s="320">
        <f>(IF(B3="25",1,IF(B3="30",1,IF(B3="37",1.04,IF(B3="45",1.04,IF(B3="50",1.07,IF(B3="55",1.07,IF(B3="60",1.09,"Fehler"))))))))*D27*D30*D31*D32/D29/B38</f>
        <v>59.246248656498729</v>
      </c>
      <c r="E39" s="120"/>
      <c r="F39" s="299" t="s">
        <v>109</v>
      </c>
      <c r="G39" s="320">
        <f>(IF(B3="25",1,IF(B3="30",1,IF(B3="37",1.04,IF(B3="45",1.04,IF(B3="50",1.07,IF(B3="55",1.07,IF(B3="60",1.09,"Fehler"))))))))*G27*G30*G31*G32/G29/G38</f>
        <v>39.497499104332476</v>
      </c>
      <c r="H39" s="320">
        <f>(IF(B3="25",1,IF(B3="30",1,IF(B3="37",1.04,IF(B3="45",1.04,IF(B3="50",1.07,IF(B3="55",1.07,IF(B3="60",1.09,"Fehler"))))))))*H27*H30*H31*H32/H29/G38</f>
        <v>49.371873880415592</v>
      </c>
      <c r="I39" s="320">
        <f>(IF(B3="25",1,IF(B3="30",1,IF(B3="37",1.04,IF(B3="45",1.04,IF(B3="50",1.07,IF(B3="55",1.07,IF(B3="60",1.09,"Fehler"))))))))*I27*I30*I31*I32/I29/G38</f>
        <v>59.246248656498729</v>
      </c>
      <c r="J39" s="108"/>
      <c r="K39" s="72"/>
      <c r="L39" s="299" t="s">
        <v>109</v>
      </c>
      <c r="M39" s="320">
        <f>(IF(M3="25",1,IF(M3="30",1,IF(M3="37",1.04,IF(M3="45",1.04,IF(M3="50",1.07,IF(M3="55",1.07,IF(M3="60",1.09,"Fehler"))))))))*M27*M30*M31*M32/M29/M38</f>
        <v>39.497499104332476</v>
      </c>
      <c r="N39" s="320">
        <f>(IF(M3="25",1,IF(M3="30",1,IF(M3="37",1.04,IF(M3="45",1.04,IF(M3="50",1.07,IF(M3="55",1.07,IF(M3="60",1.09,"Fehler"))))))))*N27*N30*N31*N32/N29/M38</f>
        <v>49.371873880415592</v>
      </c>
      <c r="O39" s="320">
        <f>(IF(M3="25",1,IF(M3="30",1,IF(M3="37",1.04,IF(M3="45",1.04,IF(M3="50",1.07,IF(M3="55",1.07,IF(M3="60",1.09,"Fehler"))))))))*O27*O30*O31*O32/O29/M38</f>
        <v>59.246248656498729</v>
      </c>
      <c r="P39" s="320"/>
      <c r="Q39" s="299" t="s">
        <v>109</v>
      </c>
      <c r="R39" s="320">
        <f>(IF(R3="25",1,IF(R3="30",1,IF(R3="37",1.04,IF(R3="45",1.04,IF(R3="50",1.07,IF(R3="55",1.07,IF(R3="60",1.09,"Fehler"))))))))*R27*R30*R31*R32/R29/R38</f>
        <v>39.497499104332476</v>
      </c>
      <c r="S39" s="320">
        <f>(IF(R3="25",1,IF(R3="30",1,IF(R3="37",1.04,IF(R3="45",1.04,IF(R3="50",1.07,IF(R3="55",1.07,IF(R3="60",1.09,"Fehler"))))))))*S27*S30*S31*S32/S29/R38</f>
        <v>49.371873880415592</v>
      </c>
      <c r="T39" s="320">
        <f>(IF(R3="25",1,IF(R3="30",1,IF(R3="37",1.04,IF(R3="45",1.04,IF(R3="50",1.07,IF(R3="55",1.07,IF(R3="60",1.09,"Fehler"))))))))*T27*T30*T31*T32/T29/R38</f>
        <v>59.246248656498729</v>
      </c>
    </row>
    <row r="40" spans="1:22">
      <c r="A40" s="126" t="s">
        <v>8</v>
      </c>
      <c r="B40" s="63"/>
      <c r="C40" s="63"/>
      <c r="D40" s="63"/>
      <c r="E40" s="53"/>
      <c r="F40" s="41" t="s">
        <v>8</v>
      </c>
      <c r="G40" s="63"/>
      <c r="H40" s="63"/>
      <c r="I40" s="63"/>
      <c r="J40" s="101"/>
      <c r="K40" s="72"/>
      <c r="L40" s="41" t="s">
        <v>8</v>
      </c>
      <c r="M40" s="63"/>
      <c r="N40" s="63"/>
      <c r="O40" s="63"/>
      <c r="P40" s="429"/>
      <c r="Q40" s="41" t="s">
        <v>8</v>
      </c>
      <c r="R40" s="63"/>
      <c r="S40" s="63"/>
      <c r="T40" s="63"/>
    </row>
    <row r="41" spans="1:22" ht="16.149999999999999">
      <c r="A41" s="124" t="s">
        <v>78</v>
      </c>
      <c r="B41" s="296">
        <f>7.2*SQRT($B$3)*B15^1.5/1000</f>
        <v>80.007519646593167</v>
      </c>
      <c r="C41" s="296">
        <f>7.2*SQRT($B$3)*C15^1.5/1000</f>
        <v>80.007519646593167</v>
      </c>
      <c r="D41" s="296">
        <f>7.2*SQRT($B$3)*D15^1.5/1000</f>
        <v>80.007519646593167</v>
      </c>
      <c r="E41" s="53" t="s">
        <v>2</v>
      </c>
      <c r="F41" s="53" t="s">
        <v>78</v>
      </c>
      <c r="G41" s="296">
        <f>7.2*SQRT($G$3)*G15^1.5/1000</f>
        <v>80.007519646593167</v>
      </c>
      <c r="H41" s="296">
        <f>7.2*SQRT($G$3)*H15^1.5/1000</f>
        <v>80.007519646593167</v>
      </c>
      <c r="I41" s="296">
        <f>7.2*SQRT($G$3)*I15^1.5/1000</f>
        <v>80.007519646593167</v>
      </c>
      <c r="J41" s="101" t="s">
        <v>2</v>
      </c>
      <c r="K41" s="72"/>
      <c r="L41" s="53" t="s">
        <v>78</v>
      </c>
      <c r="M41" s="296">
        <f>7.2*SQRT($M$3)*M15^1.5/1000</f>
        <v>80.007519646593167</v>
      </c>
      <c r="N41" s="296">
        <f>7.2*SQRT($M$3)*N15^1.5/1000</f>
        <v>80.007519646593167</v>
      </c>
      <c r="O41" s="296">
        <f>7.2*SQRT($M$3)*O15^1.5/1000</f>
        <v>80.007519646593167</v>
      </c>
      <c r="P41" s="428"/>
      <c r="Q41" s="53" t="s">
        <v>78</v>
      </c>
      <c r="R41" s="296">
        <f>7.2*SQRT($R$3)*R15^1.5/1000</f>
        <v>80.007519646593167</v>
      </c>
      <c r="S41" s="296">
        <f>7.2*SQRT($R$3)*S15^1.5/1000</f>
        <v>80.007519646593167</v>
      </c>
      <c r="T41" s="296">
        <f>7.2*SQRT($R$3)*T15^1.5/1000</f>
        <v>80.007519646593167</v>
      </c>
    </row>
    <row r="42" spans="1:22" ht="16.149999999999999">
      <c r="A42" s="124" t="s">
        <v>79</v>
      </c>
      <c r="B42" s="210">
        <f>(3*B15)^2</f>
        <v>176400</v>
      </c>
      <c r="C42" s="210">
        <f>(3*C15)^2</f>
        <v>176400</v>
      </c>
      <c r="D42" s="210">
        <f>(3*D15)^2</f>
        <v>176400</v>
      </c>
      <c r="E42" s="53" t="s">
        <v>16</v>
      </c>
      <c r="F42" s="53" t="s">
        <v>79</v>
      </c>
      <c r="G42" s="210">
        <f>(3*G15)^2</f>
        <v>176400</v>
      </c>
      <c r="H42" s="210">
        <f>(3*H15)^2</f>
        <v>176400</v>
      </c>
      <c r="I42" s="210">
        <f>(3*I15)^2</f>
        <v>176400</v>
      </c>
      <c r="J42" s="101" t="s">
        <v>16</v>
      </c>
      <c r="K42" s="72"/>
      <c r="L42" s="53" t="s">
        <v>79</v>
      </c>
      <c r="M42" s="210">
        <f>(3*M15)^2</f>
        <v>176400</v>
      </c>
      <c r="N42" s="210">
        <f>(3*N15)^2</f>
        <v>176400</v>
      </c>
      <c r="O42" s="210">
        <f>(3*O15)^2</f>
        <v>176400</v>
      </c>
      <c r="P42" s="210"/>
      <c r="Q42" s="53" t="s">
        <v>79</v>
      </c>
      <c r="R42" s="210">
        <f>(3*R15)^2</f>
        <v>176400</v>
      </c>
      <c r="S42" s="210">
        <f>(3*S15)^2</f>
        <v>176400</v>
      </c>
      <c r="T42" s="210">
        <f>(3*T15)^2</f>
        <v>176400</v>
      </c>
    </row>
    <row r="43" spans="1:22" ht="15">
      <c r="A43" s="124" t="s">
        <v>80</v>
      </c>
      <c r="B43" s="210">
        <f>MIN((3*B15),$B$6)*IF(Eingabe!$G$5="Einreihige Ankeranordnung",MIN((3*B15)/2+MIN((3*B15)/2,$B$5)),MIN((3*B15),MIN((3*B15)/2,$B$5)+MIN((3*B15)/2,$B$7/2)))</f>
        <v>142800</v>
      </c>
      <c r="C43" s="210">
        <f>MIN((3*C15),$B$6)*IF(Eingabe!$G$5="Einreihige Ankeranordnung",MIN((3*C15)/2+MIN((3*C15)/2,$B$5)),MIN((3*C15),MIN((3*C15)/2,$B$5)+MIN((3*C15)/2,$B$7/2)))</f>
        <v>142800</v>
      </c>
      <c r="D43" s="210">
        <f>MIN((3*D15),$B$6)*IF(Eingabe!$G$5="Einreihige Ankeranordnung",MIN((3*D15)/2+MIN((3*D15)/2,$B$5)),MIN((3*D15),MIN((3*D15)/2,$B$5)+MIN((3*D15)/2,$B$7/2)))</f>
        <v>142800</v>
      </c>
      <c r="E43" s="53" t="s">
        <v>16</v>
      </c>
      <c r="F43" s="53" t="s">
        <v>80</v>
      </c>
      <c r="G43" s="210">
        <f>MIN((3*G15),$G$6)*IF(Eingabe!$G$5="Einreihige Ankeranordnung",MIN((3*G15)/2+MIN((3*G15)/2,$G$5)),MIN((3*G15),MIN((3*G15)/2,$G$5)+MIN((3*G15)/2,$G$7/2)))</f>
        <v>142800</v>
      </c>
      <c r="H43" s="210">
        <f>MIN((3*H15),$G$6)*IF(Eingabe!$G$5="Einreihige Ankeranordnung",MIN((3*H15)/2+MIN((3*H15)/2,$G$5)),MIN((3*H15),MIN((3*H15)/2,$G$5)+MIN((3*H15)/2,$G$7/2)))</f>
        <v>142800</v>
      </c>
      <c r="I43" s="210">
        <f>MIN((3*I15),$G$6)*IF(Eingabe!$G$5="Einreihige Ankeranordnung",MIN((3*I15)/2+MIN((3*I15)/2,$G$5)),MIN((3*I15),MIN((3*I15)/2,$G$5)+MIN((3*I15)/2,$G$7/2)))</f>
        <v>142800</v>
      </c>
      <c r="J43" s="101" t="s">
        <v>16</v>
      </c>
      <c r="K43" s="298"/>
      <c r="L43" s="53" t="s">
        <v>80</v>
      </c>
      <c r="M43" s="210">
        <f>MIN((3*M15),$M$6)*IF(Eingabe!$G$5="Einreihige Ankeranordnung",MIN((3*M15)/2+MIN((3*M15)/2,$B$5)),MIN((3*M15),MIN((3*M15)/2,$B$5)+MIN((3*M15)/2,$B$7/2)))</f>
        <v>142800</v>
      </c>
      <c r="N43" s="210">
        <f>MIN((3*N15),$M$6)*IF(Eingabe!$G$5="Einreihige Ankeranordnung",MIN((3*N15)/2+MIN((3*N15)/2,$B$5)),MIN((3*N15),MIN((3*N15)/2,$B$5)+MIN((3*N15)/2,$B$7/2)))</f>
        <v>142800</v>
      </c>
      <c r="O43" s="210">
        <f>MIN((3*O15),$M$6)*IF(Eingabe!$G$5="Einreihige Ankeranordnung",MIN((3*O15)/2+MIN((3*O15)/2,$B$5)),MIN((3*O15),MIN((3*O15)/2,$B$5)+MIN((3*O15)/2,$B$7/2)))</f>
        <v>142800</v>
      </c>
      <c r="P43" s="210"/>
      <c r="Q43" s="53" t="s">
        <v>80</v>
      </c>
      <c r="R43" s="210">
        <f>MIN((3*R15),$M$6)*IF(Eingabe!$G$5="Einreihige Ankeranordnung",MIN((3*R15)/2+MIN((3*R15)/2,$G$5)),MIN((3*R15),MIN((3*R15)/2,$G$5)+MIN((3*R15)/2,$G$7/2)))</f>
        <v>142800</v>
      </c>
      <c r="S43" s="210">
        <f>MIN((3*S15),$M$6)*IF(Eingabe!$G$5="Einreihige Ankeranordnung",MIN((3*S15)/2+MIN((3*S15)/2,$G$5)),MIN((3*S15),MIN((3*S15)/2,$G$5)+MIN((3*S15)/2,$G$7/2)))</f>
        <v>142800</v>
      </c>
      <c r="T43" s="210">
        <f>MIN((3*T15),$M$6)*IF(Eingabe!$G$5="Einreihige Ankeranordnung",MIN((3*T15)/2+MIN((3*T15)/2,$G$5)),MIN((3*T15),MIN((3*T15)/2,$G$5)+MIN((3*T15)/2,$G$7/2)))</f>
        <v>142800</v>
      </c>
    </row>
    <row r="44" spans="1:22" ht="15">
      <c r="A44" s="124" t="s">
        <v>103</v>
      </c>
      <c r="B44" s="296">
        <f>MIN(1,0.7+0.3*$B$5/(1.5*B15))</f>
        <v>1</v>
      </c>
      <c r="C44" s="296">
        <f>MIN(1,0.7+0.3*$B$5/(1.5*C15))</f>
        <v>1</v>
      </c>
      <c r="D44" s="296">
        <f>MIN(1,0.7+0.3*$B$5/(1.5*D15))</f>
        <v>1</v>
      </c>
      <c r="E44" s="53" t="s">
        <v>7</v>
      </c>
      <c r="F44" s="53" t="s">
        <v>103</v>
      </c>
      <c r="G44" s="296">
        <f>MIN(1,0.7+0.3*$G$5/(1.5*G15))</f>
        <v>1</v>
      </c>
      <c r="H44" s="296">
        <f>MIN(1,0.7+0.3*$G$5/(1.5*H15))</f>
        <v>1</v>
      </c>
      <c r="I44" s="296">
        <f>MIN(1,0.7+0.3*$G$5/(1.5*I15))</f>
        <v>1</v>
      </c>
      <c r="J44" s="101" t="s">
        <v>7</v>
      </c>
      <c r="L44" s="53" t="s">
        <v>103</v>
      </c>
      <c r="M44" s="296">
        <f>MIN(1,0.7+0.3*$B$5/(1.5*M15))</f>
        <v>1</v>
      </c>
      <c r="N44" s="296">
        <f>MIN(1,0.7+0.3*$B$5/(1.5*N15))</f>
        <v>1</v>
      </c>
      <c r="O44" s="296">
        <f>MIN(1,0.7+0.3*$B$5/(1.5*O15))</f>
        <v>1</v>
      </c>
      <c r="P44" s="428"/>
      <c r="Q44" s="53" t="s">
        <v>103</v>
      </c>
      <c r="R44" s="296">
        <f>MIN(1,0.7+0.3*$G$5/(1.5*R15))</f>
        <v>1</v>
      </c>
      <c r="S44" s="296">
        <f>MIN(1,0.7+0.3*$G$5/(1.5*S15))</f>
        <v>1</v>
      </c>
      <c r="T44" s="296">
        <f>MIN(1,0.7+0.3*$G$5/(1.5*T15))</f>
        <v>1</v>
      </c>
    </row>
    <row r="45" spans="1:22" ht="15">
      <c r="A45" s="124" t="s">
        <v>104</v>
      </c>
      <c r="B45" s="296">
        <f>MIN(1,0.5+B15/200)</f>
        <v>1</v>
      </c>
      <c r="C45" s="296">
        <f>MIN(1,0.5+C15/200)</f>
        <v>1</v>
      </c>
      <c r="D45" s="296">
        <f>MIN(1,0.5+D15/200)</f>
        <v>1</v>
      </c>
      <c r="E45" s="53" t="s">
        <v>7</v>
      </c>
      <c r="F45" s="53" t="s">
        <v>104</v>
      </c>
      <c r="G45" s="296">
        <f>MIN(1,0.5+G15/200)</f>
        <v>1</v>
      </c>
      <c r="H45" s="296">
        <f>MIN(1,0.5+H15/200)</f>
        <v>1</v>
      </c>
      <c r="I45" s="296">
        <f>MIN(1,0.5+I15/200)</f>
        <v>1</v>
      </c>
      <c r="J45" s="101" t="s">
        <v>7</v>
      </c>
      <c r="L45" s="53" t="s">
        <v>104</v>
      </c>
      <c r="M45" s="296">
        <f>MIN(1,0.5+M15/200)</f>
        <v>1</v>
      </c>
      <c r="N45" s="296">
        <f>MIN(1,0.5+N15/200)</f>
        <v>1</v>
      </c>
      <c r="O45" s="296">
        <f>MIN(1,0.5+O15/200)</f>
        <v>1</v>
      </c>
      <c r="P45" s="428"/>
      <c r="Q45" s="53" t="s">
        <v>104</v>
      </c>
      <c r="R45" s="296">
        <f>MIN(1,0.5+R15/200)</f>
        <v>1</v>
      </c>
      <c r="S45" s="296">
        <f>MIN(1,0.5+S15/200)</f>
        <v>1</v>
      </c>
      <c r="T45" s="296">
        <f>MIN(1,0.5+T15/200)</f>
        <v>1</v>
      </c>
    </row>
    <row r="46" spans="1:22" ht="15">
      <c r="A46" s="124" t="s">
        <v>105</v>
      </c>
      <c r="B46" s="296">
        <v>1</v>
      </c>
      <c r="C46" s="296">
        <v>1</v>
      </c>
      <c r="D46" s="296">
        <v>1</v>
      </c>
      <c r="E46" s="53" t="s">
        <v>7</v>
      </c>
      <c r="F46" s="53" t="s">
        <v>105</v>
      </c>
      <c r="G46" s="296">
        <v>1</v>
      </c>
      <c r="H46" s="296">
        <v>1</v>
      </c>
      <c r="I46" s="296">
        <v>1</v>
      </c>
      <c r="J46" s="101" t="s">
        <v>7</v>
      </c>
      <c r="L46" s="53" t="s">
        <v>105</v>
      </c>
      <c r="M46" s="296">
        <v>1</v>
      </c>
      <c r="N46" s="296">
        <v>1</v>
      </c>
      <c r="O46" s="296">
        <v>1</v>
      </c>
      <c r="P46" s="428"/>
      <c r="Q46" s="53" t="s">
        <v>105</v>
      </c>
      <c r="R46" s="296">
        <v>1</v>
      </c>
      <c r="S46" s="296">
        <v>1</v>
      </c>
      <c r="T46" s="296">
        <v>1</v>
      </c>
    </row>
    <row r="47" spans="1:22">
      <c r="A47" s="124"/>
      <c r="B47" s="296"/>
      <c r="C47" s="296"/>
      <c r="D47" s="296"/>
      <c r="E47" s="53"/>
      <c r="F47" s="53"/>
      <c r="G47" s="296"/>
      <c r="H47" s="296"/>
      <c r="I47" s="296"/>
      <c r="J47" s="101"/>
      <c r="L47" s="53"/>
      <c r="M47" s="296"/>
      <c r="N47" s="296"/>
      <c r="O47" s="296"/>
      <c r="P47" s="428"/>
      <c r="Q47" s="53"/>
      <c r="R47" s="296"/>
      <c r="S47" s="296"/>
      <c r="T47" s="296"/>
    </row>
    <row r="48" spans="1:22" ht="15">
      <c r="A48" s="124" t="s">
        <v>77</v>
      </c>
      <c r="B48" s="296">
        <f>B41*B43/B42*B44*B45*B46</f>
        <v>64.767992094861128</v>
      </c>
      <c r="C48" s="296">
        <f>C41*C43/C42*C44*C45*C46</f>
        <v>64.767992094861128</v>
      </c>
      <c r="D48" s="296">
        <f>D41*D43/D42*D44*D45*D46</f>
        <v>64.767992094861128</v>
      </c>
      <c r="E48" s="53" t="s">
        <v>2</v>
      </c>
      <c r="F48" s="53" t="s">
        <v>77</v>
      </c>
      <c r="G48" s="296">
        <f>G41*G43/G42*G44*G45*G46</f>
        <v>64.767992094861128</v>
      </c>
      <c r="H48" s="296">
        <f>H41*H43/H42*H44*H45*H46</f>
        <v>64.767992094861128</v>
      </c>
      <c r="I48" s="296">
        <f>I41*I43/I42*I44*I45*I46</f>
        <v>64.767992094861128</v>
      </c>
      <c r="J48" s="101" t="s">
        <v>2</v>
      </c>
      <c r="L48" s="53" t="s">
        <v>77</v>
      </c>
      <c r="M48" s="296">
        <f>M41*M43/M42*M44*M45*M46</f>
        <v>64.767992094861128</v>
      </c>
      <c r="N48" s="296">
        <f>N41*N43/N42*N44*N45*N46</f>
        <v>64.767992094861128</v>
      </c>
      <c r="O48" s="296">
        <f>O41*O43/O42*O44*O45*O46</f>
        <v>64.767992094861128</v>
      </c>
      <c r="P48" s="428"/>
      <c r="Q48" s="53" t="s">
        <v>77</v>
      </c>
      <c r="R48" s="296">
        <f>R41*R43/R42*R44*R45*R46</f>
        <v>64.767992094861128</v>
      </c>
      <c r="S48" s="296">
        <f>S41*S43/S42*S44*S45*S46</f>
        <v>64.767992094861128</v>
      </c>
      <c r="T48" s="296">
        <f>T41*T43/T42*T44*T45*T46</f>
        <v>64.767992094861128</v>
      </c>
    </row>
    <row r="49" spans="1:23" s="189" customFormat="1" ht="15">
      <c r="A49" s="124" t="s">
        <v>12</v>
      </c>
      <c r="B49" s="1116">
        <f>(IF(OR(Eingabe!C24="Anprall Fahrzeugrückhaltesystem",Eingabe!C24="Anprall Schrammbord"),1.2,1.5))*1</f>
        <v>1.2</v>
      </c>
      <c r="C49" s="1114"/>
      <c r="D49" s="1114"/>
      <c r="E49" s="53" t="s">
        <v>7</v>
      </c>
      <c r="F49" s="53" t="s">
        <v>12</v>
      </c>
      <c r="G49" s="1116">
        <f>(IF(OR(Eingabe!C24="Anprall Fahrzeugrückhaltesystem",Eingabe!C24="Anprall Schrammbord"),1.2,1.5))*1</f>
        <v>1.2</v>
      </c>
      <c r="H49" s="1116"/>
      <c r="I49" s="1116"/>
      <c r="J49" s="125" t="s">
        <v>7</v>
      </c>
      <c r="L49" s="53" t="s">
        <v>12</v>
      </c>
      <c r="M49" s="1116">
        <f>(IF(OR(Eingabe!C24="Anprall Fahrzeugrückhaltesystem",Eingabe!C24="Anprall Schrammbord"),1.2,1.5))*1</f>
        <v>1.2</v>
      </c>
      <c r="N49" s="1114"/>
      <c r="O49" s="1114"/>
      <c r="P49" s="429"/>
      <c r="Q49" s="53" t="s">
        <v>12</v>
      </c>
      <c r="R49" s="1116">
        <f>(IF(OR(Eingabe!C24="Anprall Fahrzeugrückhaltesystem",Eingabe!C24="Anprall Schrammbord"),1.2,1.5))*1</f>
        <v>1.2</v>
      </c>
      <c r="S49" s="1116"/>
      <c r="T49" s="1116"/>
      <c r="U49" s="401"/>
      <c r="V49" s="401"/>
    </row>
    <row r="50" spans="1:23" ht="15">
      <c r="A50" s="110" t="s">
        <v>106</v>
      </c>
      <c r="B50" s="320">
        <f>B48/$B$49</f>
        <v>53.973326745717607</v>
      </c>
      <c r="C50" s="320">
        <f>C48/$B$49</f>
        <v>53.973326745717607</v>
      </c>
      <c r="D50" s="320">
        <f>D48/$B$49</f>
        <v>53.973326745717607</v>
      </c>
      <c r="E50" s="299" t="s">
        <v>2</v>
      </c>
      <c r="F50" s="299" t="s">
        <v>106</v>
      </c>
      <c r="G50" s="320">
        <f>G48/$G$49</f>
        <v>53.973326745717607</v>
      </c>
      <c r="H50" s="320">
        <f>H48/$G$49</f>
        <v>53.973326745717607</v>
      </c>
      <c r="I50" s="320">
        <f>I48/$G$49</f>
        <v>53.973326745717607</v>
      </c>
      <c r="J50" s="105" t="s">
        <v>2</v>
      </c>
      <c r="L50" s="299" t="s">
        <v>106</v>
      </c>
      <c r="M50" s="320">
        <f>M48/$M$49</f>
        <v>53.973326745717607</v>
      </c>
      <c r="N50" s="320">
        <f>N48/$M$49</f>
        <v>53.973326745717607</v>
      </c>
      <c r="O50" s="320">
        <f>O48/$M$49</f>
        <v>53.973326745717607</v>
      </c>
      <c r="P50" s="320"/>
      <c r="Q50" s="299" t="s">
        <v>106</v>
      </c>
      <c r="R50" s="320">
        <f>R48/$R$49</f>
        <v>53.973326745717607</v>
      </c>
      <c r="S50" s="320">
        <f>S48/$R$49</f>
        <v>53.973326745717607</v>
      </c>
      <c r="T50" s="320">
        <f>T48/$R$49</f>
        <v>53.973326745717607</v>
      </c>
    </row>
    <row r="51" spans="1:23">
      <c r="A51" s="172"/>
      <c r="B51" s="173"/>
      <c r="C51" s="173"/>
      <c r="D51" s="173"/>
      <c r="E51" s="173"/>
      <c r="F51" s="174"/>
      <c r="G51" s="173"/>
      <c r="H51" s="173"/>
      <c r="I51" s="173"/>
      <c r="J51" s="107"/>
      <c r="K51" s="94"/>
      <c r="L51" s="53"/>
      <c r="M51" s="53"/>
      <c r="N51" s="53"/>
      <c r="O51" s="53"/>
      <c r="P51" s="53"/>
      <c r="Q51" s="53"/>
      <c r="R51" s="53"/>
      <c r="S51" s="53"/>
      <c r="T51" s="53"/>
    </row>
    <row r="52" spans="1:23">
      <c r="A52" s="175"/>
      <c r="B52" s="176"/>
      <c r="C52" s="177"/>
      <c r="D52" s="177"/>
      <c r="E52" s="178"/>
      <c r="F52" s="178"/>
      <c r="G52" s="176"/>
      <c r="H52" s="177"/>
      <c r="I52" s="177"/>
      <c r="J52" s="111"/>
      <c r="K52" s="94"/>
    </row>
    <row r="53" spans="1:23">
      <c r="A53" s="175"/>
      <c r="B53" s="179"/>
      <c r="C53" s="180"/>
      <c r="D53" s="180"/>
      <c r="E53" s="178"/>
      <c r="F53" s="178"/>
      <c r="G53" s="179"/>
      <c r="H53" s="180"/>
      <c r="I53" s="180"/>
      <c r="J53" s="111"/>
      <c r="K53" s="94"/>
    </row>
    <row r="54" spans="1:23">
      <c r="A54" s="175"/>
      <c r="B54" s="1130"/>
      <c r="C54" s="1130"/>
      <c r="D54" s="1130"/>
      <c r="E54" s="1130"/>
      <c r="F54" s="1130"/>
      <c r="G54" s="1130"/>
      <c r="H54" s="181"/>
      <c r="I54" s="181"/>
      <c r="J54" s="111"/>
      <c r="K54" s="94"/>
    </row>
    <row r="55" spans="1:23">
      <c r="A55" s="175"/>
      <c r="B55" s="182"/>
      <c r="C55" s="183"/>
      <c r="D55" s="183"/>
      <c r="E55" s="178"/>
      <c r="F55" s="178"/>
      <c r="G55" s="182"/>
      <c r="H55" s="183"/>
      <c r="I55" s="183"/>
      <c r="J55" s="111"/>
      <c r="K55" s="94"/>
    </row>
    <row r="56" spans="1:23">
      <c r="A56" s="175"/>
      <c r="B56" s="1123"/>
      <c r="C56" s="1124"/>
      <c r="D56" s="1124"/>
      <c r="E56" s="178"/>
      <c r="F56" s="178"/>
      <c r="G56" s="1123"/>
      <c r="H56" s="1124"/>
      <c r="I56" s="1124"/>
      <c r="J56" s="111"/>
      <c r="K56" s="94"/>
      <c r="M56" s="1117" t="s">
        <v>223</v>
      </c>
      <c r="N56" s="1117"/>
      <c r="O56" s="1117"/>
      <c r="P56" s="427"/>
      <c r="R56" s="1117" t="s">
        <v>224</v>
      </c>
      <c r="S56" s="1117"/>
      <c r="T56" s="1117"/>
    </row>
    <row r="57" spans="1:23" ht="25.35">
      <c r="A57" s="172"/>
      <c r="B57" s="1130"/>
      <c r="C57" s="1130"/>
      <c r="D57" s="1130"/>
      <c r="E57" s="1130"/>
      <c r="F57" s="1130"/>
      <c r="G57" s="1130"/>
      <c r="H57" s="184"/>
      <c r="I57" s="184"/>
      <c r="J57" s="112"/>
      <c r="K57" s="94"/>
      <c r="M57" s="187" t="s">
        <v>200</v>
      </c>
      <c r="N57" s="187" t="s">
        <v>201</v>
      </c>
      <c r="O57" s="188" t="s">
        <v>202</v>
      </c>
      <c r="P57" s="188"/>
      <c r="R57" s="187" t="s">
        <v>200</v>
      </c>
      <c r="S57" s="187" t="s">
        <v>201</v>
      </c>
      <c r="T57" s="188" t="s">
        <v>202</v>
      </c>
    </row>
    <row r="58" spans="1:23">
      <c r="A58" s="175"/>
      <c r="B58" s="185"/>
      <c r="C58" s="185"/>
      <c r="D58" s="186"/>
      <c r="E58" s="178"/>
      <c r="F58" s="178"/>
      <c r="G58" s="185"/>
      <c r="H58" s="185"/>
      <c r="I58" s="185"/>
      <c r="J58" s="111"/>
      <c r="K58" s="94"/>
    </row>
    <row r="59" spans="1:23" ht="15">
      <c r="A59" s="329" t="s">
        <v>343</v>
      </c>
      <c r="B59" s="297">
        <f>MIN(B50,B39,B25)</f>
        <v>39.497499104332476</v>
      </c>
      <c r="C59" s="297">
        <f>MIN(C39,C50,C25)</f>
        <v>49.371873880415592</v>
      </c>
      <c r="D59" s="297">
        <f>MIN(D39,D50,D25)</f>
        <v>53.973326745717607</v>
      </c>
      <c r="E59" s="41"/>
      <c r="F59" s="321" t="s">
        <v>336</v>
      </c>
      <c r="G59" s="297">
        <f>MIN(G39,G50,G25)</f>
        <v>39.497499104332476</v>
      </c>
      <c r="H59" s="297">
        <f>MIN(H39,H50,H25)</f>
        <v>49.371873880415592</v>
      </c>
      <c r="I59" s="297">
        <f>MIN(I39,I50,I25)</f>
        <v>53.973326745717607</v>
      </c>
      <c r="J59" s="113"/>
      <c r="L59" s="321" t="s">
        <v>335</v>
      </c>
      <c r="M59" s="297">
        <f>MIN(M50,M39,M25)</f>
        <v>39.497499104332476</v>
      </c>
      <c r="N59" s="297">
        <f>MIN(N39,N50,N25)</f>
        <v>49.371873880415592</v>
      </c>
      <c r="O59" s="297">
        <f>MIN(O39,O50,O25)</f>
        <v>53.973326745717607</v>
      </c>
      <c r="P59" s="432"/>
      <c r="Q59" s="321" t="s">
        <v>336</v>
      </c>
      <c r="R59" s="297">
        <f>MIN(R39,R50,R25)</f>
        <v>39.497499104332476</v>
      </c>
      <c r="S59" s="297">
        <f>MIN(S39,S50,S25)</f>
        <v>49.371873880415592</v>
      </c>
      <c r="T59" s="297">
        <f>MIN(T39,T50,T25)</f>
        <v>53.973326745717607</v>
      </c>
    </row>
    <row r="60" spans="1:23" ht="15">
      <c r="A60" s="329" t="s">
        <v>344</v>
      </c>
      <c r="B60" s="1120">
        <f>Eingabe!O20</f>
        <v>4.2779482683033754</v>
      </c>
      <c r="C60" s="1120"/>
      <c r="D60" s="1120"/>
      <c r="E60" s="41"/>
      <c r="F60" s="321" t="s">
        <v>344</v>
      </c>
      <c r="G60" s="1120">
        <f>Eingabe!P20</f>
        <v>3.3432704953967556</v>
      </c>
      <c r="H60" s="1120"/>
      <c r="I60" s="1120"/>
      <c r="J60" s="113"/>
      <c r="L60" s="321" t="s">
        <v>337</v>
      </c>
      <c r="M60" s="1118">
        <f>Eingabe!O26</f>
        <v>4.7057430951337125</v>
      </c>
      <c r="N60" s="1119"/>
      <c r="O60" s="1119"/>
      <c r="P60" s="431"/>
      <c r="Q60" s="321" t="s">
        <v>337</v>
      </c>
      <c r="R60" s="1118">
        <f>Eingabe!P26</f>
        <v>3.6775975449364311</v>
      </c>
      <c r="S60" s="1119"/>
      <c r="T60" s="1119"/>
    </row>
    <row r="61" spans="1:23">
      <c r="A61" s="329" t="s">
        <v>225</v>
      </c>
      <c r="B61" s="314">
        <f>$B$60/B59</f>
        <v>0.10830934528293028</v>
      </c>
      <c r="C61" s="314">
        <f>$B$60/C59</f>
        <v>8.6647476226344222E-2</v>
      </c>
      <c r="D61" s="314">
        <f>$B$60/D59</f>
        <v>7.9260414842648175E-2</v>
      </c>
      <c r="E61" s="41"/>
      <c r="F61" s="321" t="s">
        <v>226</v>
      </c>
      <c r="G61" s="314">
        <f>$G$60/G59</f>
        <v>8.4645118582458115E-2</v>
      </c>
      <c r="H61" s="314">
        <f>$G$60/H59</f>
        <v>6.7716094865966497E-2</v>
      </c>
      <c r="I61" s="314">
        <f>$G$60/I59</f>
        <v>6.1943013280388912E-2</v>
      </c>
      <c r="J61" s="113"/>
      <c r="L61" s="321" t="s">
        <v>227</v>
      </c>
      <c r="M61" s="322">
        <f>$M$60/M59</f>
        <v>0.11914027981122328</v>
      </c>
      <c r="N61" s="322">
        <f>$M$60/N59</f>
        <v>9.5312223848978639E-2</v>
      </c>
      <c r="O61" s="322">
        <f>$M$60/O59</f>
        <v>8.7186456326912978E-2</v>
      </c>
      <c r="P61" s="322"/>
      <c r="Q61" s="321" t="s">
        <v>228</v>
      </c>
      <c r="R61" s="322">
        <f>$R$60/R59</f>
        <v>9.310963044070393E-2</v>
      </c>
      <c r="S61" s="322">
        <f>$R$60/S59</f>
        <v>7.4487704352563147E-2</v>
      </c>
      <c r="T61" s="322">
        <f>$R$60/T59</f>
        <v>6.8137314608427799E-2</v>
      </c>
    </row>
    <row r="62" spans="1:23">
      <c r="A62" s="100"/>
      <c r="B62" s="72"/>
      <c r="C62" s="72"/>
      <c r="D62" s="72"/>
      <c r="E62" s="72"/>
      <c r="F62" s="72"/>
      <c r="G62" s="72"/>
      <c r="H62" s="72"/>
      <c r="I62" s="72"/>
      <c r="J62" s="101"/>
    </row>
    <row r="63" spans="1:23">
      <c r="A63" s="1129" t="s">
        <v>45</v>
      </c>
      <c r="B63" s="1121"/>
      <c r="C63" s="1121"/>
      <c r="D63" s="1121"/>
      <c r="E63" s="1121"/>
      <c r="F63" s="1121" t="s">
        <v>45</v>
      </c>
      <c r="G63" s="1121"/>
      <c r="H63" s="1121"/>
      <c r="I63" s="1121"/>
      <c r="J63" s="1128"/>
      <c r="L63" s="1121" t="s">
        <v>45</v>
      </c>
      <c r="M63" s="1121"/>
      <c r="N63" s="1121"/>
      <c r="O63" s="1121"/>
      <c r="P63" s="1121"/>
      <c r="Q63" s="1121"/>
      <c r="R63" s="1121" t="s">
        <v>45</v>
      </c>
      <c r="S63" s="1121"/>
      <c r="T63" s="1121"/>
      <c r="U63" s="1121"/>
      <c r="V63" s="1121"/>
      <c r="W63" s="1121"/>
    </row>
    <row r="64" spans="1:23">
      <c r="A64" s="103" t="s">
        <v>120</v>
      </c>
      <c r="B64" s="72"/>
      <c r="C64" s="72"/>
      <c r="D64" s="72"/>
      <c r="E64" s="72"/>
      <c r="F64" s="75" t="s">
        <v>120</v>
      </c>
      <c r="G64" s="72"/>
      <c r="H64" s="72"/>
      <c r="I64" s="72"/>
      <c r="J64" s="101"/>
      <c r="L64" s="75" t="s">
        <v>120</v>
      </c>
      <c r="M64" s="72"/>
      <c r="N64" s="72"/>
      <c r="O64" s="72"/>
      <c r="P64" s="72"/>
      <c r="Q64" s="75" t="s">
        <v>120</v>
      </c>
      <c r="R64" s="72"/>
      <c r="S64" s="72"/>
      <c r="T64" s="72"/>
      <c r="U64" s="72"/>
      <c r="V64" s="72"/>
    </row>
    <row r="65" spans="1:26" ht="15">
      <c r="A65" s="100" t="s">
        <v>167</v>
      </c>
      <c r="B65" s="424">
        <f>IF((233*(1-(B60/B25)))&lt;0,0.1,(233*(1-(B60/B25))))</f>
        <v>216.05504690925031</v>
      </c>
      <c r="C65" s="296">
        <f>IF((454*(1-(B60/C25)))&lt;0,0.1,(454*(1-(B60/C25))))</f>
        <v>432.88434580916163</v>
      </c>
      <c r="D65" s="296">
        <f>786*(1-(B60/D25))</f>
        <v>760.54326346673008</v>
      </c>
      <c r="E65" s="53" t="s">
        <v>119</v>
      </c>
      <c r="F65" s="53" t="s">
        <v>118</v>
      </c>
      <c r="G65" s="296">
        <f>IF((233*(1-(G60/G25)))&lt;0,0.1,(233*(1-(G60/G25))))</f>
        <v>219.75730556773345</v>
      </c>
      <c r="H65" s="296">
        <f>IF((454*(1-(G60/H25)))&lt;0,0.01,(454*(1-(G60/H25))))</f>
        <v>437.49785008615152</v>
      </c>
      <c r="I65" s="296">
        <f>786*(1-(B60/I25))</f>
        <v>760.54326346673008</v>
      </c>
      <c r="J65" s="101" t="s">
        <v>119</v>
      </c>
      <c r="L65" s="53" t="s">
        <v>118</v>
      </c>
      <c r="M65" s="296">
        <f>IF((233*(1-(M60/M25)))&lt;0,0.1,(233*(1-(M60/M25))))</f>
        <v>214.36055160017537</v>
      </c>
      <c r="N65" s="296">
        <f>IF((454*(1-(M60/N25)))&lt;0,0.1,(454*(1-(M60/N25))))</f>
        <v>430.7727803900778</v>
      </c>
      <c r="O65" s="296">
        <f>786*(1-(M60/O25))</f>
        <v>757.99758981340312</v>
      </c>
      <c r="P65" s="428"/>
      <c r="Q65" s="53" t="s">
        <v>118</v>
      </c>
      <c r="R65" s="296">
        <f>IF((233*(1-(R60/R25)))&lt;0,0.1,(233*(1-(R60/R25))))</f>
        <v>218.4330361245068</v>
      </c>
      <c r="S65" s="296">
        <f>IF((454*(1-(R60/S25)))&lt;0,0.1,(454*(1-(R60/S25))))</f>
        <v>435.8476350947667</v>
      </c>
      <c r="T65" s="296">
        <f>786*(1-(R60/T25))</f>
        <v>764.11576346761751</v>
      </c>
      <c r="U65" s="53" t="s">
        <v>119</v>
      </c>
      <c r="V65" s="53"/>
    </row>
    <row r="66" spans="1:26" ht="15">
      <c r="A66" s="100" t="s">
        <v>168</v>
      </c>
      <c r="B66" s="1116">
        <v>1.56</v>
      </c>
      <c r="C66" s="1114"/>
      <c r="D66" s="1114"/>
      <c r="E66" s="53" t="s">
        <v>7</v>
      </c>
      <c r="F66" s="53" t="s">
        <v>328</v>
      </c>
      <c r="G66" s="1116">
        <v>1.56</v>
      </c>
      <c r="H66" s="1114"/>
      <c r="I66" s="1114"/>
      <c r="J66" s="125" t="s">
        <v>7</v>
      </c>
      <c r="K66" s="53"/>
      <c r="L66" s="53" t="s">
        <v>328</v>
      </c>
      <c r="M66" s="1116">
        <v>1.56</v>
      </c>
      <c r="N66" s="1114"/>
      <c r="O66" s="1114"/>
      <c r="P66" s="487"/>
      <c r="Q66" s="53" t="s">
        <v>328</v>
      </c>
      <c r="R66" s="1116">
        <v>1.56</v>
      </c>
      <c r="S66" s="1116"/>
      <c r="T66" s="1116"/>
      <c r="U66" s="53" t="s">
        <v>7</v>
      </c>
      <c r="V66" s="53"/>
    </row>
    <row r="67" spans="1:26" ht="15">
      <c r="A67" s="103" t="s">
        <v>169</v>
      </c>
      <c r="B67" s="297">
        <f>$B$9*B65*2/B66/(16+B10)</f>
        <v>11.541402078485595</v>
      </c>
      <c r="C67" s="297">
        <f>$B$9*C65*2/B66/(20+B10)</f>
        <v>19.820711804448791</v>
      </c>
      <c r="D67" s="297">
        <f>$B$9*D65*2/B66/(24+B10)</f>
        <v>30.470483311968351</v>
      </c>
      <c r="E67" s="41" t="s">
        <v>2</v>
      </c>
      <c r="F67" s="41" t="s">
        <v>329</v>
      </c>
      <c r="G67" s="297">
        <f>$G$9*G65*2/G66/(16+B10)</f>
        <v>11.739172305968667</v>
      </c>
      <c r="H67" s="297">
        <f>$G$9*H65*2/G66/(20+B10)</f>
        <v>20.031952842772505</v>
      </c>
      <c r="I67" s="297">
        <f>$G$9*I65*2/G66/(24+B10)</f>
        <v>30.470483311968351</v>
      </c>
      <c r="J67" s="113" t="s">
        <v>2</v>
      </c>
      <c r="K67" s="145"/>
      <c r="L67" s="41" t="s">
        <v>329</v>
      </c>
      <c r="M67" s="297">
        <f>$B$9*M65*2/M66/(16+B10)</f>
        <v>11.450884166676033</v>
      </c>
      <c r="N67" s="297">
        <f>$B$9*N65*2/M66/(20+B10)</f>
        <v>19.724028406139094</v>
      </c>
      <c r="O67" s="297">
        <f>$B$9*O65*2/M66/(24+B10)</f>
        <v>30.368493181626725</v>
      </c>
      <c r="P67" s="432"/>
      <c r="Q67" s="41" t="s">
        <v>329</v>
      </c>
      <c r="R67" s="297">
        <f>$G$9*R65*2/R66/(16+B10)</f>
        <v>11.668431416907415</v>
      </c>
      <c r="S67" s="297">
        <f>$G$9*S65*2/R66/(20+B10)</f>
        <v>19.956393548295178</v>
      </c>
      <c r="T67" s="297">
        <f>$G$9*T65*2/R66/(24+B10)</f>
        <v>30.613612318414162</v>
      </c>
      <c r="U67" s="41" t="s">
        <v>2</v>
      </c>
      <c r="V67" s="41"/>
    </row>
    <row r="68" spans="1:26" ht="15">
      <c r="A68" s="126" t="s">
        <v>342</v>
      </c>
      <c r="B68" s="1120">
        <f>IF(Eingabe!C33="Kappenverankerung HCC",Eingabe!O21,Eingabe!Q21)</f>
        <v>27.194109375</v>
      </c>
      <c r="C68" s="1120"/>
      <c r="D68" s="1120"/>
      <c r="E68" s="41"/>
      <c r="F68" s="41" t="s">
        <v>342</v>
      </c>
      <c r="G68" s="1120">
        <f>IF(Eingabe!C33="Kappenverankerung HCC",Eingabe!P21,Eingabe!R21)</f>
        <v>27.194109375</v>
      </c>
      <c r="H68" s="1120"/>
      <c r="I68" s="1120"/>
      <c r="J68" s="113"/>
      <c r="L68" s="41" t="s">
        <v>338</v>
      </c>
      <c r="M68" s="1120">
        <f>IF(Eingabe!C33="Kappenverankerung HCC",Eingabe!O27,Eingabe!Q27)</f>
        <v>29.921271248249965</v>
      </c>
      <c r="N68" s="1120"/>
      <c r="O68" s="1120"/>
      <c r="P68" s="432"/>
      <c r="Q68" s="41" t="s">
        <v>338</v>
      </c>
      <c r="R68" s="1120">
        <f>IF(Eingabe!C33="Kappenverankerung HCC",Eingabe!P27,Eingabe!R27)</f>
        <v>29.921271248249965</v>
      </c>
      <c r="S68" s="1120"/>
      <c r="T68" s="1120"/>
      <c r="U68" s="401"/>
      <c r="V68" s="401"/>
    </row>
    <row r="69" spans="1:26">
      <c r="A69" s="110" t="s">
        <v>230</v>
      </c>
      <c r="B69" s="643">
        <f>$B$68/B67</f>
        <v>2.3562223367724724</v>
      </c>
      <c r="C69" s="643">
        <f>$B$68/C67</f>
        <v>1.3720046809265567</v>
      </c>
      <c r="D69" s="643">
        <f>$B$68/D67</f>
        <v>0.8924738441650697</v>
      </c>
      <c r="E69" s="299"/>
      <c r="F69" s="299" t="s">
        <v>230</v>
      </c>
      <c r="G69" s="643">
        <f>$G$68/G67</f>
        <v>2.3165269804561452</v>
      </c>
      <c r="H69" s="643">
        <f>$G$68/H67</f>
        <v>1.3575366110554514</v>
      </c>
      <c r="I69" s="643">
        <f>$G$68/I67</f>
        <v>0.8924738441650697</v>
      </c>
      <c r="J69" s="105"/>
      <c r="L69" s="299" t="s">
        <v>232</v>
      </c>
      <c r="M69" s="643">
        <f>$M$68/M67</f>
        <v>2.6130096866516048</v>
      </c>
      <c r="N69" s="643">
        <f>$M$68/N67</f>
        <v>1.5169959519495004</v>
      </c>
      <c r="O69" s="643">
        <f>$M$68/O67</f>
        <v>0.98527348951092064</v>
      </c>
      <c r="P69" s="323"/>
      <c r="Q69" s="299" t="s">
        <v>233</v>
      </c>
      <c r="R69" s="323">
        <f>$R$68/R67</f>
        <v>2.5642925067798235</v>
      </c>
      <c r="S69" s="323">
        <f>$R$68/S67</f>
        <v>1.4993325911237134</v>
      </c>
      <c r="T69" s="323">
        <f>$R$68/T67</f>
        <v>0.97738453525303992</v>
      </c>
      <c r="U69" s="53"/>
      <c r="V69" s="53"/>
    </row>
    <row r="70" spans="1:26">
      <c r="A70" s="103" t="s">
        <v>9</v>
      </c>
      <c r="B70" s="53"/>
      <c r="C70" s="53"/>
      <c r="D70" s="53"/>
      <c r="E70" s="53"/>
      <c r="F70" s="41" t="s">
        <v>9</v>
      </c>
      <c r="G70" s="53"/>
      <c r="H70" s="53"/>
      <c r="I70" s="53"/>
      <c r="J70" s="101"/>
      <c r="L70" s="41" t="s">
        <v>9</v>
      </c>
      <c r="M70" s="53"/>
      <c r="N70" s="53"/>
      <c r="O70" s="53"/>
      <c r="P70" s="53"/>
      <c r="Q70" s="41" t="s">
        <v>9</v>
      </c>
      <c r="R70" s="53"/>
      <c r="S70" s="53"/>
      <c r="T70" s="53"/>
      <c r="U70" s="53"/>
      <c r="V70" s="53"/>
    </row>
    <row r="71" spans="1:26">
      <c r="A71" s="126" t="s">
        <v>10</v>
      </c>
      <c r="B71" s="1117">
        <f>IF(OR(Eingabe!C10&lt;90,Eingabe!C10=90),2,2.5)</f>
        <v>2.5</v>
      </c>
      <c r="C71" s="1117"/>
      <c r="D71" s="1117"/>
      <c r="E71" s="41" t="s">
        <v>7</v>
      </c>
      <c r="F71" s="41" t="s">
        <v>10</v>
      </c>
      <c r="G71" s="1117">
        <f>IF(OR(Eingabe!C10&lt;90,Eingabe!C10=90),2,2.5)</f>
        <v>2.5</v>
      </c>
      <c r="H71" s="1117"/>
      <c r="I71" s="1117"/>
      <c r="J71" s="101" t="s">
        <v>7</v>
      </c>
      <c r="L71" s="41" t="s">
        <v>10</v>
      </c>
      <c r="M71" s="1117">
        <f>IF(OR(Eingabe!C10&lt;90,Eingabe!C10=90),2,2.5)</f>
        <v>2.5</v>
      </c>
      <c r="N71" s="1117"/>
      <c r="O71" s="1117"/>
      <c r="P71" s="427"/>
      <c r="Q71" s="41" t="s">
        <v>10</v>
      </c>
      <c r="R71" s="1117">
        <f>IF(OR(Eingabe!C10&lt;90,Eingabe!C10=90),2,2.5)</f>
        <v>2.5</v>
      </c>
      <c r="S71" s="1117"/>
      <c r="T71" s="1117"/>
      <c r="U71" s="53"/>
      <c r="V71" s="53"/>
    </row>
    <row r="72" spans="1:26" ht="15">
      <c r="A72" s="100" t="s">
        <v>170</v>
      </c>
      <c r="B72" s="296">
        <f>MIN(($B$71*B48),($B$71*B39*B38))</f>
        <v>118.49249731299741</v>
      </c>
      <c r="C72" s="296">
        <f>MIN(($B$71*C48),($B$71*C39*B38))</f>
        <v>148.11562164124678</v>
      </c>
      <c r="D72" s="296">
        <f>MIN(($B$71*D48),($B$71*D39*B38))</f>
        <v>161.91998023715283</v>
      </c>
      <c r="E72" s="53"/>
      <c r="F72" s="53" t="s">
        <v>18</v>
      </c>
      <c r="G72" s="296">
        <f>MIN(($B$71*G48),($B$71*G39*G38))</f>
        <v>118.49249731299741</v>
      </c>
      <c r="H72" s="296">
        <f>MIN(($B$71*H48),($B$71*H39*G38))</f>
        <v>148.11562164124678</v>
      </c>
      <c r="I72" s="296">
        <f>MIN(($B$71*I48),($B$71*I39*G38))</f>
        <v>161.91998023715283</v>
      </c>
      <c r="J72" s="101"/>
      <c r="L72" s="53" t="s">
        <v>18</v>
      </c>
      <c r="M72" s="296">
        <f>MIN(($M$71*M48),($M$71*M39*M38))</f>
        <v>118.49249731299741</v>
      </c>
      <c r="N72" s="296">
        <f>MIN(($M$71*N48),($M$71*N39*M38))</f>
        <v>148.11562164124678</v>
      </c>
      <c r="O72" s="296">
        <f>MIN(($M$71*O48),($M$71*O39*M38))</f>
        <v>161.91998023715283</v>
      </c>
      <c r="P72" s="428"/>
      <c r="Q72" s="53" t="s">
        <v>18</v>
      </c>
      <c r="R72" s="296">
        <f>MIN(($R$71*R48),($R$71*R39*R38))</f>
        <v>118.49249731299741</v>
      </c>
      <c r="S72" s="296">
        <f>MIN(($R$71*S48),($R$71*S39*R38))</f>
        <v>148.11562164124678</v>
      </c>
      <c r="T72" s="296">
        <f>MIN(($R$71*T48),($R$71*T39*R38))</f>
        <v>161.91998023715283</v>
      </c>
      <c r="U72" s="53"/>
      <c r="V72" s="53"/>
    </row>
    <row r="73" spans="1:26" ht="15">
      <c r="A73" s="100" t="s">
        <v>171</v>
      </c>
      <c r="B73" s="1116">
        <f>(IF(OR(Eingabe!C24="Anprall Fahrzeugrückhaltesystem",Eingabe!C24="Anprall Schrammbord"),1.2,1.5))*1</f>
        <v>1.2</v>
      </c>
      <c r="C73" s="1114"/>
      <c r="D73" s="1114"/>
      <c r="E73" s="53" t="s">
        <v>7</v>
      </c>
      <c r="F73" s="53" t="s">
        <v>339</v>
      </c>
      <c r="G73" s="1116">
        <f>(IF(OR(Eingabe!C24="Anprall Fahrzeugrückhaltesystem",Eingabe!C24="Anprall Schrammbord"),1.2,1.5))*1</f>
        <v>1.2</v>
      </c>
      <c r="H73" s="1114"/>
      <c r="I73" s="1114"/>
      <c r="J73" s="101" t="s">
        <v>7</v>
      </c>
      <c r="K73" s="53"/>
      <c r="L73" s="53" t="s">
        <v>339</v>
      </c>
      <c r="M73" s="1116">
        <f>(IF(OR(Eingabe!C24="Anprall Fahrzeugrückhaltesystem",Eingabe!C24="Anprall Schrammbord"),1.2,1.5))*1</f>
        <v>1.2</v>
      </c>
      <c r="N73" s="1114"/>
      <c r="O73" s="1114"/>
      <c r="P73" s="429"/>
      <c r="Q73" s="53" t="s">
        <v>339</v>
      </c>
      <c r="R73" s="1116">
        <f>(IF(OR(Eingabe!C24="Anprall Fahrzeugrückhaltesystem",Eingabe!C24="Anprall Schrammbord"),1.2,1.5))*1</f>
        <v>1.2</v>
      </c>
      <c r="S73" s="1114"/>
      <c r="T73" s="1114"/>
      <c r="U73" s="401"/>
      <c r="V73" s="401"/>
      <c r="W73" s="191" t="s">
        <v>95</v>
      </c>
      <c r="X73" s="190"/>
      <c r="Y73" s="190"/>
      <c r="Z73" s="190"/>
    </row>
    <row r="74" spans="1:26" ht="15">
      <c r="A74" s="103" t="s">
        <v>172</v>
      </c>
      <c r="B74" s="297">
        <f>B72/$B$73</f>
        <v>98.743747760831184</v>
      </c>
      <c r="C74" s="297">
        <f>C72/$B$73</f>
        <v>123.42968470103898</v>
      </c>
      <c r="D74" s="297">
        <f>D72/$B$73</f>
        <v>134.93331686429403</v>
      </c>
      <c r="E74" s="41" t="s">
        <v>2</v>
      </c>
      <c r="F74" s="41" t="s">
        <v>107</v>
      </c>
      <c r="G74" s="297">
        <f>G72/$G$73</f>
        <v>98.743747760831184</v>
      </c>
      <c r="H74" s="297">
        <f>H72/$G$73</f>
        <v>123.42968470103898</v>
      </c>
      <c r="I74" s="297">
        <f>I72/$G$73</f>
        <v>134.93331686429403</v>
      </c>
      <c r="J74" s="113" t="s">
        <v>2</v>
      </c>
      <c r="L74" s="41" t="s">
        <v>107</v>
      </c>
      <c r="M74" s="297">
        <f>M72/$M$73</f>
        <v>98.743747760831184</v>
      </c>
      <c r="N74" s="297">
        <f>N72/$M$73</f>
        <v>123.42968470103898</v>
      </c>
      <c r="O74" s="297">
        <f>O72/$M$73</f>
        <v>134.93331686429403</v>
      </c>
      <c r="P74" s="432"/>
      <c r="Q74" s="41" t="s">
        <v>107</v>
      </c>
      <c r="R74" s="297">
        <f>R72/$R$73</f>
        <v>98.743747760831184</v>
      </c>
      <c r="S74" s="297">
        <f>S72/$R$73</f>
        <v>123.42968470103898</v>
      </c>
      <c r="T74" s="297">
        <f>T72/$R$73</f>
        <v>134.93331686429403</v>
      </c>
      <c r="U74" s="53"/>
      <c r="V74" s="53"/>
      <c r="W74" s="190"/>
      <c r="X74" s="190"/>
      <c r="Y74" s="190"/>
      <c r="Z74" s="190"/>
    </row>
    <row r="75" spans="1:26" s="298" customFormat="1">
      <c r="A75" s="126" t="s">
        <v>11</v>
      </c>
      <c r="B75" s="424">
        <f>MIN(960,10*B$15,$B$5)</f>
        <v>960</v>
      </c>
      <c r="C75" s="424">
        <f>MIN(1200,10*C$15,$B$5)</f>
        <v>1200</v>
      </c>
      <c r="D75" s="424">
        <f>MIN(1440,10*D$15,$B$5)</f>
        <v>1200</v>
      </c>
      <c r="E75" s="53"/>
      <c r="F75" s="41" t="s">
        <v>11</v>
      </c>
      <c r="G75" s="424">
        <f>MIN(960,10*G$15,$G$5)</f>
        <v>940</v>
      </c>
      <c r="H75" s="424">
        <f>MIN(1200,10*H$15,$G$5)</f>
        <v>940</v>
      </c>
      <c r="I75" s="424">
        <f>MIN(1440,10*I$15,$G$5)</f>
        <v>940</v>
      </c>
      <c r="J75" s="422"/>
      <c r="L75" s="126" t="s">
        <v>11</v>
      </c>
      <c r="M75" s="428">
        <f>MIN(960,10*M$15,$B$5)</f>
        <v>960</v>
      </c>
      <c r="N75" s="428">
        <f>MIN(1200,10*N$15,$B$5)</f>
        <v>1200</v>
      </c>
      <c r="O75" s="428">
        <f>MIN(1440,10*O$15,$B$5)</f>
        <v>1200</v>
      </c>
      <c r="P75" s="428"/>
      <c r="Q75" s="41" t="s">
        <v>11</v>
      </c>
      <c r="R75" s="428">
        <f>MIN(960,10*R$15,$G$5)</f>
        <v>940</v>
      </c>
      <c r="S75" s="428">
        <f>MIN(1200,10*S$15,$G$5)</f>
        <v>940</v>
      </c>
      <c r="T75" s="428">
        <f>MIN(1440,10*T$15,$G$5)</f>
        <v>940</v>
      </c>
      <c r="W75" s="298" t="s">
        <v>96</v>
      </c>
      <c r="Y75" s="298">
        <v>550</v>
      </c>
      <c r="Z75" s="298" t="s">
        <v>13</v>
      </c>
    </row>
    <row r="76" spans="1:26" s="298" customFormat="1">
      <c r="A76" s="124" t="s">
        <v>21</v>
      </c>
      <c r="B76" s="434">
        <f>0.1*((B15/B75)^0.5)</f>
        <v>3.8188130791298673E-2</v>
      </c>
      <c r="C76" s="434">
        <f>0.1*((C15/C75)^0.5)</f>
        <v>3.4156502553198659E-2</v>
      </c>
      <c r="D76" s="434">
        <f>0.1*((D15/D75)^0.5)</f>
        <v>3.4156502553198659E-2</v>
      </c>
      <c r="E76" s="53" t="s">
        <v>7</v>
      </c>
      <c r="F76" s="53" t="s">
        <v>21</v>
      </c>
      <c r="G76" s="434">
        <f>0.1*((G15/G75)^0.5)</f>
        <v>3.859224924939799E-2</v>
      </c>
      <c r="H76" s="434">
        <f t="shared" ref="H76:I76" si="3">0.1*((H15/H75)^0.5)</f>
        <v>3.859224924939799E-2</v>
      </c>
      <c r="I76" s="434">
        <f t="shared" si="3"/>
        <v>3.859224924939799E-2</v>
      </c>
      <c r="J76" s="125" t="s">
        <v>7</v>
      </c>
      <c r="L76" s="124" t="s">
        <v>21</v>
      </c>
      <c r="M76" s="434">
        <f>0.1*((M15/M75)^0.5)</f>
        <v>3.8188130791298673E-2</v>
      </c>
      <c r="N76" s="434">
        <f>0.1*((N15/N75)^0.5)</f>
        <v>3.4156502553198659E-2</v>
      </c>
      <c r="O76" s="434">
        <f>0.1*((O15/O75)^0.5)</f>
        <v>3.4156502553198659E-2</v>
      </c>
      <c r="P76" s="434"/>
      <c r="Q76" s="53" t="s">
        <v>21</v>
      </c>
      <c r="R76" s="434">
        <f>0.1*((R15/R75)^0.5)</f>
        <v>3.859224924939799E-2</v>
      </c>
      <c r="S76" s="434">
        <f t="shared" ref="S76:T76" si="4">0.1*((S15/S75)^0.5)</f>
        <v>3.859224924939799E-2</v>
      </c>
      <c r="T76" s="434">
        <f t="shared" si="4"/>
        <v>3.859224924939799E-2</v>
      </c>
      <c r="U76" s="53" t="s">
        <v>7</v>
      </c>
      <c r="V76" s="53"/>
      <c r="W76" s="298" t="s">
        <v>100</v>
      </c>
      <c r="Y76" s="298">
        <v>1.1499999999999999</v>
      </c>
      <c r="Z76" s="298" t="s">
        <v>7</v>
      </c>
    </row>
    <row r="77" spans="1:26" s="298" customFormat="1">
      <c r="A77" s="124" t="s">
        <v>134</v>
      </c>
      <c r="B77" s="434">
        <f>0.1*((16/B75)^0.2)</f>
        <v>4.4093010311086027E-2</v>
      </c>
      <c r="C77" s="434">
        <f>0.1*((20/C75)^0.2)</f>
        <v>4.4093010311086027E-2</v>
      </c>
      <c r="D77" s="434">
        <f>0.1*((24/D75)^0.2)</f>
        <v>4.573050519273264E-2</v>
      </c>
      <c r="E77" s="53" t="s">
        <v>7</v>
      </c>
      <c r="F77" s="53" t="s">
        <v>134</v>
      </c>
      <c r="G77" s="434">
        <f>0.1*((16/G75)^0.2)</f>
        <v>4.4279063379101209E-2</v>
      </c>
      <c r="H77" s="434">
        <f>0.1*((20/H75)^0.2)</f>
        <v>4.6299940020884015E-2</v>
      </c>
      <c r="I77" s="434">
        <f>0.1*((24/I75)^0.2)</f>
        <v>4.8019394289709035E-2</v>
      </c>
      <c r="J77" s="125" t="s">
        <v>7</v>
      </c>
      <c r="L77" s="124" t="s">
        <v>134</v>
      </c>
      <c r="M77" s="434">
        <f>0.1*((16/M75)^0.2)</f>
        <v>4.4093010311086027E-2</v>
      </c>
      <c r="N77" s="434">
        <f>0.1*((20/N75)^0.2)</f>
        <v>4.4093010311086027E-2</v>
      </c>
      <c r="O77" s="434">
        <f>0.1*((24/O75)^0.2)</f>
        <v>4.573050519273264E-2</v>
      </c>
      <c r="P77" s="434"/>
      <c r="Q77" s="53" t="s">
        <v>134</v>
      </c>
      <c r="R77" s="434">
        <f>0.1*((16/R75)^0.2)</f>
        <v>4.4279063379101209E-2</v>
      </c>
      <c r="S77" s="434">
        <f>0.1*((20/S75)^0.2)</f>
        <v>4.6299940020884015E-2</v>
      </c>
      <c r="T77" s="434">
        <f>0.1*((24/T75)^0.2)</f>
        <v>4.8019394289709035E-2</v>
      </c>
      <c r="U77" s="53" t="s">
        <v>7</v>
      </c>
      <c r="V77" s="53"/>
      <c r="W77" s="298" t="s">
        <v>97</v>
      </c>
      <c r="Y77" s="298">
        <f>Eingabe!C26</f>
        <v>90.6</v>
      </c>
      <c r="Z77" s="298" t="s">
        <v>98</v>
      </c>
    </row>
    <row r="78" spans="1:26" s="298" customFormat="1" ht="16.149999999999999">
      <c r="A78" s="124" t="s">
        <v>481</v>
      </c>
      <c r="B78" s="424">
        <f>1.7*16^B76*B15^B77*SQRT($B$3)*$B$75^1.5/1000</f>
        <v>468.89366455280765</v>
      </c>
      <c r="C78" s="424">
        <f>1.7*20^C76*C15^C77*SQRT($B$3)*$C$75^1.5/1000</f>
        <v>652.97255413597588</v>
      </c>
      <c r="D78" s="424">
        <f>1.7*24^D76*D15^D77*SQRT($B$3)*$D$75^1.5/1000</f>
        <v>662.3899818033774</v>
      </c>
      <c r="E78" s="53" t="s">
        <v>2</v>
      </c>
      <c r="F78" s="53" t="s">
        <v>481</v>
      </c>
      <c r="G78" s="424">
        <f>1.7*16^G76*G15^G77*SQRT($G$3)*$G$75^1.5/1000</f>
        <v>455.24501245212122</v>
      </c>
      <c r="H78" s="424">
        <f>1.7*20^H76*H15^H77*SQRT($G$3)*$H$75^1.5/1000</f>
        <v>463.79090932931109</v>
      </c>
      <c r="I78" s="424">
        <f>1.7*24^I76*I15^I77*SQRT($G$3)*$I$75^1.5/1000</f>
        <v>471.05127459020582</v>
      </c>
      <c r="J78" s="125" t="s">
        <v>2</v>
      </c>
      <c r="L78" s="124" t="s">
        <v>481</v>
      </c>
      <c r="M78" s="428">
        <f>1.7*16^M76*M15^M77*SQRT($B$3)*$B$75^1.5/1000</f>
        <v>468.89366455280765</v>
      </c>
      <c r="N78" s="428">
        <f>1.7*20^N76*N15^N77*SQRT($B$3)*$C$75^1.5/1000</f>
        <v>652.97255413597588</v>
      </c>
      <c r="O78" s="428">
        <f>1.7*24^O76*O15^O77*SQRT($B$3)*$D$75^1.5/1000</f>
        <v>662.3899818033774</v>
      </c>
      <c r="P78" s="428"/>
      <c r="Q78" s="53" t="s">
        <v>481</v>
      </c>
      <c r="R78" s="428">
        <f>1.7*16^R76*R15^R77*SQRT($G$3)*$G$75^1.5/1000</f>
        <v>455.24501245212122</v>
      </c>
      <c r="S78" s="428">
        <f>1.7*20^S76*S15^S77*SQRT($G$3)*$H$75^1.5/1000</f>
        <v>463.79090932931109</v>
      </c>
      <c r="T78" s="428">
        <f>1.7*24^T76*T15^T77*SQRT($G$3)*$I$75^1.5/1000</f>
        <v>471.05127459020582</v>
      </c>
      <c r="U78" s="53" t="s">
        <v>2</v>
      </c>
      <c r="V78" s="53"/>
      <c r="W78" s="298" t="s">
        <v>99</v>
      </c>
      <c r="Y78" s="423">
        <f>Y77*10/Y75*Y76</f>
        <v>1.8943636363636362</v>
      </c>
      <c r="Z78" s="298" t="s">
        <v>127</v>
      </c>
    </row>
    <row r="79" spans="1:26" s="298" customFormat="1" ht="16.149999999999999">
      <c r="A79" s="124" t="s">
        <v>482</v>
      </c>
      <c r="B79" s="425">
        <f>4.5*B75*B75</f>
        <v>4147200</v>
      </c>
      <c r="C79" s="425">
        <f>4.5*C75*C75</f>
        <v>6480000</v>
      </c>
      <c r="D79" s="425">
        <f>4.5*D75*D75</f>
        <v>6480000</v>
      </c>
      <c r="E79" s="53" t="s">
        <v>16</v>
      </c>
      <c r="F79" s="53" t="s">
        <v>482</v>
      </c>
      <c r="G79" s="425">
        <f t="shared" ref="G79:I79" si="5">4.5*G75*G75</f>
        <v>3976200</v>
      </c>
      <c r="H79" s="425">
        <f t="shared" si="5"/>
        <v>3976200</v>
      </c>
      <c r="I79" s="425">
        <f t="shared" si="5"/>
        <v>3976200</v>
      </c>
      <c r="J79" s="125" t="s">
        <v>16</v>
      </c>
      <c r="L79" s="124" t="s">
        <v>482</v>
      </c>
      <c r="M79" s="429">
        <f>4.5*M75*M75</f>
        <v>4147200</v>
      </c>
      <c r="N79" s="429">
        <f>4.5*N75*N75</f>
        <v>6480000</v>
      </c>
      <c r="O79" s="429">
        <f>4.5*O75*O75</f>
        <v>6480000</v>
      </c>
      <c r="P79" s="429"/>
      <c r="Q79" s="53" t="s">
        <v>482</v>
      </c>
      <c r="R79" s="429">
        <f t="shared" ref="R79:T79" si="6">4.5*R75*R75</f>
        <v>3976200</v>
      </c>
      <c r="S79" s="429">
        <f t="shared" si="6"/>
        <v>3976200</v>
      </c>
      <c r="T79" s="429">
        <f t="shared" si="6"/>
        <v>3976200</v>
      </c>
      <c r="U79" s="53" t="s">
        <v>16</v>
      </c>
      <c r="V79" s="53"/>
    </row>
    <row r="80" spans="1:26" s="298" customFormat="1" ht="15">
      <c r="A80" s="124" t="s">
        <v>483</v>
      </c>
      <c r="B80" s="425">
        <f>MIN(1.5*B75,B8)*(3*B75)</f>
        <v>576000</v>
      </c>
      <c r="C80" s="425">
        <f>MIN(1.5*C75,B8)*(3*C75)</f>
        <v>720000</v>
      </c>
      <c r="D80" s="425">
        <f>MIN(1.5*D75,B8)*(3*D75)</f>
        <v>720000</v>
      </c>
      <c r="E80" s="53" t="s">
        <v>16</v>
      </c>
      <c r="F80" s="53" t="s">
        <v>483</v>
      </c>
      <c r="G80" s="425">
        <f t="shared" ref="G80" si="7">MIN(1.5*G75,G8)*(3*G75)</f>
        <v>564000</v>
      </c>
      <c r="H80" s="425">
        <f>MIN(1.5*H75,G8)*(3*H75)</f>
        <v>564000</v>
      </c>
      <c r="I80" s="425">
        <f>MIN(1.5*I75,G8)*(3*I75)</f>
        <v>564000</v>
      </c>
      <c r="J80" s="125" t="s">
        <v>16</v>
      </c>
      <c r="L80" s="124" t="s">
        <v>483</v>
      </c>
      <c r="M80" s="429">
        <f>MIN(1.5*M75,B8)*(3*M75)</f>
        <v>576000</v>
      </c>
      <c r="N80" s="429">
        <f>MIN(1.5*N75,B8)*(3*N75)</f>
        <v>720000</v>
      </c>
      <c r="O80" s="429">
        <f>MIN(1.5*O75,B8)*(3*O75)</f>
        <v>720000</v>
      </c>
      <c r="P80" s="429"/>
      <c r="Q80" s="53" t="s">
        <v>483</v>
      </c>
      <c r="R80" s="429">
        <f>MIN(1.5*R75,B8)*(3*R75)</f>
        <v>564000</v>
      </c>
      <c r="S80" s="429">
        <f>MIN(1.5*S75,B8)*(3*S75)</f>
        <v>564000</v>
      </c>
      <c r="T80" s="429">
        <f>MIN(1.5*T75,B8)*(3*T75)</f>
        <v>564000</v>
      </c>
      <c r="U80" s="53" t="s">
        <v>16</v>
      </c>
      <c r="V80" s="53"/>
    </row>
    <row r="81" spans="1:23" s="298" customFormat="1" ht="15">
      <c r="A81" s="124" t="s">
        <v>484</v>
      </c>
      <c r="B81" s="1114">
        <v>1</v>
      </c>
      <c r="C81" s="1114"/>
      <c r="D81" s="1114"/>
      <c r="E81" s="53" t="s">
        <v>7</v>
      </c>
      <c r="F81" s="53" t="s">
        <v>484</v>
      </c>
      <c r="G81" s="1114">
        <v>1</v>
      </c>
      <c r="H81" s="1114"/>
      <c r="I81" s="1114"/>
      <c r="J81" s="125" t="s">
        <v>7</v>
      </c>
      <c r="L81" s="124" t="s">
        <v>484</v>
      </c>
      <c r="M81" s="1114">
        <v>1</v>
      </c>
      <c r="N81" s="1114"/>
      <c r="O81" s="1114"/>
      <c r="P81" s="429"/>
      <c r="Q81" s="53" t="s">
        <v>484</v>
      </c>
      <c r="R81" s="1114">
        <v>1</v>
      </c>
      <c r="S81" s="1114"/>
      <c r="T81" s="1114"/>
      <c r="U81" s="53" t="s">
        <v>7</v>
      </c>
      <c r="V81" s="53"/>
    </row>
    <row r="82" spans="1:23" s="298" customFormat="1" ht="15">
      <c r="A82" s="124" t="s">
        <v>485</v>
      </c>
      <c r="B82" s="424">
        <f>((1.5*B75/B8)^(1/2))</f>
        <v>2.6832815729997477</v>
      </c>
      <c r="C82" s="424">
        <f>((1.5*C75/B8)^(1/2))</f>
        <v>3</v>
      </c>
      <c r="D82" s="424">
        <f>((1.5*D75/B8)^(1/2))</f>
        <v>3</v>
      </c>
      <c r="E82" s="53" t="s">
        <v>7</v>
      </c>
      <c r="F82" s="53" t="s">
        <v>485</v>
      </c>
      <c r="G82" s="424">
        <f>((1.5*G75/B8)^(1/2))</f>
        <v>2.6551836094703507</v>
      </c>
      <c r="H82" s="424">
        <f>((1.5*H75/B8)^(1/2))</f>
        <v>2.6551836094703507</v>
      </c>
      <c r="I82" s="424">
        <f>((1.5*I75/B8)^(1/2))</f>
        <v>2.6551836094703507</v>
      </c>
      <c r="J82" s="125" t="s">
        <v>7</v>
      </c>
      <c r="L82" s="124" t="s">
        <v>485</v>
      </c>
      <c r="M82" s="428">
        <f>((1.5*M75/B8)^(1/2))</f>
        <v>2.6832815729997477</v>
      </c>
      <c r="N82" s="428">
        <f>((1.5*N75/B8)^(1/2))</f>
        <v>3</v>
      </c>
      <c r="O82" s="428">
        <f>((1.5*O75/B8)^(1/2))</f>
        <v>3</v>
      </c>
      <c r="P82" s="428"/>
      <c r="Q82" s="53" t="s">
        <v>485</v>
      </c>
      <c r="R82" s="428">
        <f>((1.5*R75/B8)^(1/2))</f>
        <v>2.6551836094703507</v>
      </c>
      <c r="S82" s="428">
        <f>((1.5*S75/B8)^(1/2))</f>
        <v>2.6551836094703507</v>
      </c>
      <c r="T82" s="428">
        <f>((1.5*T75/B8)^(1/2))</f>
        <v>2.6551836094703507</v>
      </c>
      <c r="U82" s="53" t="s">
        <v>7</v>
      </c>
      <c r="V82" s="53"/>
    </row>
    <row r="83" spans="1:23" s="298" customFormat="1" ht="15">
      <c r="A83" s="124" t="s">
        <v>486</v>
      </c>
      <c r="B83" s="1114">
        <v>1</v>
      </c>
      <c r="C83" s="1114"/>
      <c r="D83" s="1114"/>
      <c r="E83" s="53" t="s">
        <v>7</v>
      </c>
      <c r="F83" s="53" t="s">
        <v>486</v>
      </c>
      <c r="G83" s="1114">
        <v>1</v>
      </c>
      <c r="H83" s="1114"/>
      <c r="I83" s="1114"/>
      <c r="J83" s="125" t="s">
        <v>7</v>
      </c>
      <c r="L83" s="124" t="s">
        <v>486</v>
      </c>
      <c r="M83" s="1114">
        <v>1</v>
      </c>
      <c r="N83" s="1114"/>
      <c r="O83" s="1114"/>
      <c r="P83" s="429"/>
      <c r="Q83" s="53" t="s">
        <v>486</v>
      </c>
      <c r="R83" s="1114">
        <v>1</v>
      </c>
      <c r="S83" s="1114"/>
      <c r="T83" s="1114"/>
      <c r="U83" s="53" t="s">
        <v>7</v>
      </c>
      <c r="V83" s="53"/>
    </row>
    <row r="84" spans="1:23" s="298" customFormat="1" ht="15">
      <c r="A84" s="124" t="s">
        <v>487</v>
      </c>
      <c r="B84" s="1114">
        <v>1</v>
      </c>
      <c r="C84" s="1114"/>
      <c r="D84" s="1114"/>
      <c r="E84" s="53" t="s">
        <v>7</v>
      </c>
      <c r="F84" s="53" t="s">
        <v>487</v>
      </c>
      <c r="G84" s="1114">
        <v>1</v>
      </c>
      <c r="H84" s="1114"/>
      <c r="I84" s="1114"/>
      <c r="J84" s="125" t="s">
        <v>7</v>
      </c>
      <c r="L84" s="124" t="s">
        <v>487</v>
      </c>
      <c r="M84" s="1114">
        <v>1</v>
      </c>
      <c r="N84" s="1114"/>
      <c r="O84" s="1114"/>
      <c r="P84" s="429"/>
      <c r="Q84" s="53" t="s">
        <v>487</v>
      </c>
      <c r="R84" s="1114">
        <v>1</v>
      </c>
      <c r="S84" s="1114"/>
      <c r="T84" s="1114"/>
      <c r="U84" s="53" t="s">
        <v>7</v>
      </c>
      <c r="V84" s="53"/>
    </row>
    <row r="85" spans="1:23" s="298" customFormat="1" ht="15">
      <c r="A85" s="124" t="s">
        <v>488</v>
      </c>
      <c r="B85" s="1115">
        <v>1.2</v>
      </c>
      <c r="C85" s="1115"/>
      <c r="D85" s="1115"/>
      <c r="E85" s="53" t="s">
        <v>7</v>
      </c>
      <c r="F85" s="53" t="s">
        <v>488</v>
      </c>
      <c r="G85" s="1115">
        <v>1.2</v>
      </c>
      <c r="H85" s="1115"/>
      <c r="I85" s="1115"/>
      <c r="J85" s="125" t="s">
        <v>7</v>
      </c>
      <c r="L85" s="124" t="s">
        <v>488</v>
      </c>
      <c r="M85" s="1115">
        <v>1.2</v>
      </c>
      <c r="N85" s="1115"/>
      <c r="O85" s="1115"/>
      <c r="P85" s="435"/>
      <c r="Q85" s="53" t="s">
        <v>488</v>
      </c>
      <c r="R85" s="1115">
        <v>1.2</v>
      </c>
      <c r="S85" s="1115"/>
      <c r="T85" s="1115"/>
      <c r="U85" s="53" t="s">
        <v>7</v>
      </c>
      <c r="V85" s="53"/>
    </row>
    <row r="86" spans="1:23" s="298" customFormat="1" ht="15">
      <c r="A86" s="124" t="s">
        <v>489</v>
      </c>
      <c r="B86" s="424">
        <f>B78*$B$80/$B$79*$B$81*$B$82*$B$83*$B$84*$B$85</f>
        <v>209.69562163181229</v>
      </c>
      <c r="C86" s="424">
        <f>C78*$C$80/$C$79*$B$81*$C$82*$B$83*$B$84*$B$85</f>
        <v>261.18902165439033</v>
      </c>
      <c r="D86" s="424">
        <f>D78*$D$80/$D$79*$B$81*$D$82*$B$83*$B$84*$B$85</f>
        <v>264.95599272135092</v>
      </c>
      <c r="E86" s="53" t="s">
        <v>2</v>
      </c>
      <c r="F86" s="53" t="s">
        <v>489</v>
      </c>
      <c r="G86" s="424">
        <f>G78*$G$80/$G$79*$G$81*$G$82*$G$83*$G$84*$G$85</f>
        <v>205.74622899676564</v>
      </c>
      <c r="H86" s="424">
        <f>H78*$H$80/$H$79*$G$81*$H$82*$G$83*$G$84*$G$85</f>
        <v>209.60851415702749</v>
      </c>
      <c r="I86" s="424">
        <f>I78*$I$80/$I$79*$G$81*$I$82*$G$83*$G$84*$G$85</f>
        <v>212.88980825736712</v>
      </c>
      <c r="J86" s="125" t="s">
        <v>2</v>
      </c>
      <c r="L86" s="124" t="s">
        <v>489</v>
      </c>
      <c r="M86" s="428">
        <f>M78*$M$80/$M$79*$M$81*$M$82*$M$83*$M$84*$M$85</f>
        <v>209.69562163181229</v>
      </c>
      <c r="N86" s="428">
        <f>N78*$N$80/$N$79*$M$81*$N$82*$M$83*$M$84*$M$85</f>
        <v>261.18902165439033</v>
      </c>
      <c r="O86" s="428">
        <f>O78*$O$80/$O$79*$M$81*$O$82*$M$83*$M$84*$M$85</f>
        <v>264.95599272135092</v>
      </c>
      <c r="P86" s="428"/>
      <c r="Q86" s="53" t="s">
        <v>489</v>
      </c>
      <c r="R86" s="428">
        <f>R78*$R$80/$R$79*$R$81*$R$82*$R$83*$R$84*$R$85</f>
        <v>205.74622899676564</v>
      </c>
      <c r="S86" s="428">
        <f>S78*$S$80/$S$79*$R$81*$S$82*$R$83*$R$84*$R$85</f>
        <v>209.60851415702749</v>
      </c>
      <c r="T86" s="428">
        <f>T78*$T$80/$T$79*$R$81*$T$82*$R$83*$R$84*$R$85</f>
        <v>212.88980825736712</v>
      </c>
      <c r="U86" s="53" t="s">
        <v>2</v>
      </c>
      <c r="V86" s="53"/>
    </row>
    <row r="87" spans="1:23" s="298" customFormat="1" ht="15">
      <c r="A87" s="124" t="s">
        <v>12</v>
      </c>
      <c r="B87" s="1116">
        <f>B73</f>
        <v>1.2</v>
      </c>
      <c r="C87" s="1116"/>
      <c r="D87" s="1116"/>
      <c r="E87" s="53" t="s">
        <v>7</v>
      </c>
      <c r="F87" s="53" t="s">
        <v>12</v>
      </c>
      <c r="G87" s="1116">
        <f>G73</f>
        <v>1.2</v>
      </c>
      <c r="H87" s="1116"/>
      <c r="I87" s="1116"/>
      <c r="J87" s="125" t="s">
        <v>7</v>
      </c>
      <c r="L87" s="124" t="s">
        <v>12</v>
      </c>
      <c r="M87" s="1116">
        <f>M73</f>
        <v>1.2</v>
      </c>
      <c r="N87" s="1116"/>
      <c r="O87" s="1116"/>
      <c r="P87" s="428"/>
      <c r="Q87" s="53" t="s">
        <v>12</v>
      </c>
      <c r="R87" s="1116">
        <f>R73</f>
        <v>1.2</v>
      </c>
      <c r="S87" s="1116"/>
      <c r="T87" s="1116"/>
      <c r="U87" s="53" t="s">
        <v>7</v>
      </c>
      <c r="V87" s="53"/>
    </row>
    <row r="88" spans="1:23" s="298" customFormat="1" ht="15">
      <c r="A88" s="110" t="s">
        <v>490</v>
      </c>
      <c r="B88" s="320">
        <f>IF(AND($B$5&gt;960,$B$5&gt;10*B15),"entfällt",B86/$B$87)</f>
        <v>174.74635135984357</v>
      </c>
      <c r="C88" s="320">
        <f>IF(AND($B$5&gt;1200,$B$5&gt;10*C15),"entfällt",C86/$B$87)</f>
        <v>217.65751804532528</v>
      </c>
      <c r="D88" s="320">
        <f>IF(AND($B$5&gt;1440,$B$5&gt;10*D15),"entfällt",D86/$B$87)</f>
        <v>220.79666060112578</v>
      </c>
      <c r="E88" s="299" t="s">
        <v>2</v>
      </c>
      <c r="F88" s="299" t="s">
        <v>490</v>
      </c>
      <c r="G88" s="320">
        <f>IF(AND($G$5&gt;960,$G$5&gt;10*G15),"entfällt",G86/$G$87)</f>
        <v>171.45519083063803</v>
      </c>
      <c r="H88" s="320">
        <f>IF(AND($G$5&gt;1200,$G$5&gt;10*H15),"entfällt",H86/$G$87)</f>
        <v>174.6737617975229</v>
      </c>
      <c r="I88" s="320">
        <f>IF(AND($G$5&gt;1440,$G$5&gt;10*I15),"entfällt",I86/$G$87)</f>
        <v>177.40817354780594</v>
      </c>
      <c r="J88" s="127" t="s">
        <v>2</v>
      </c>
      <c r="L88" s="110" t="s">
        <v>490</v>
      </c>
      <c r="M88" s="320">
        <f>IF(AND($B$5&gt;960,$B$5&gt;10*M15),"entfällt",M86/$B$87)</f>
        <v>174.74635135984357</v>
      </c>
      <c r="N88" s="320">
        <f>IF(AND($B$5&gt;1200,$B$5&gt;10*N15),"entfällt",N86/$B$87)</f>
        <v>217.65751804532528</v>
      </c>
      <c r="O88" s="320">
        <f>IF(AND($B$5&gt;1440,$B$5&gt;10*O15),"entfällt",O86/$B$87)</f>
        <v>220.79666060112578</v>
      </c>
      <c r="P88" s="320"/>
      <c r="Q88" s="299" t="s">
        <v>490</v>
      </c>
      <c r="R88" s="320">
        <f>IF(AND($G$5&gt;960,$G$5&gt;10*R15),"entfällt",R86/$R$87)</f>
        <v>171.45519083063803</v>
      </c>
      <c r="S88" s="320">
        <f>IF(AND($G$5&gt;1200,$G$5&gt;10*S15),"entfällt",S86/$R$87)</f>
        <v>174.6737617975229</v>
      </c>
      <c r="T88" s="320">
        <f>IF(AND($G$5&gt;1440,$G$5&gt;10*T15),"entfällt",T86/$R$87)</f>
        <v>177.40817354780594</v>
      </c>
      <c r="U88" s="41" t="s">
        <v>2</v>
      </c>
      <c r="V88" s="41"/>
    </row>
    <row r="89" spans="1:23" ht="15.55">
      <c r="A89" s="1132" t="s">
        <v>247</v>
      </c>
      <c r="B89" s="1133"/>
      <c r="C89" s="1133"/>
      <c r="D89" s="1133"/>
      <c r="E89" s="1133"/>
      <c r="F89" s="1134"/>
      <c r="G89" s="1133"/>
      <c r="H89" s="1133"/>
      <c r="I89" s="1133"/>
      <c r="J89" s="1135"/>
      <c r="L89" s="1132" t="s">
        <v>248</v>
      </c>
      <c r="M89" s="1133"/>
      <c r="N89" s="1133"/>
      <c r="O89" s="1133"/>
      <c r="P89" s="1133"/>
      <c r="Q89" s="1133"/>
      <c r="R89" s="1133"/>
      <c r="S89" s="1133"/>
      <c r="T89" s="1135"/>
    </row>
    <row r="90" spans="1:23" ht="15">
      <c r="A90" s="324" t="s">
        <v>492</v>
      </c>
      <c r="B90" s="426">
        <f>MIN(B74,B88)</f>
        <v>98.743747760831184</v>
      </c>
      <c r="C90" s="426">
        <f>MIN(C74,C88)</f>
        <v>123.42968470103898</v>
      </c>
      <c r="D90" s="426">
        <f>MIN(D74,D88)</f>
        <v>134.93331686429403</v>
      </c>
      <c r="E90" s="41" t="s">
        <v>2</v>
      </c>
      <c r="F90" s="337" t="s">
        <v>492</v>
      </c>
      <c r="G90" s="426">
        <f t="shared" ref="G90:I90" si="8">MIN(G74,G88)</f>
        <v>98.743747760831184</v>
      </c>
      <c r="H90" s="426">
        <f t="shared" si="8"/>
        <v>123.42968470103898</v>
      </c>
      <c r="I90" s="426">
        <f t="shared" si="8"/>
        <v>134.93331686429403</v>
      </c>
      <c r="J90" s="129" t="s">
        <v>2</v>
      </c>
      <c r="L90" s="324" t="s">
        <v>495</v>
      </c>
      <c r="M90" s="432">
        <f t="shared" ref="M90:O90" si="9">MIN(M74,M88)</f>
        <v>98.743747760831184</v>
      </c>
      <c r="N90" s="432">
        <f t="shared" si="9"/>
        <v>123.42968470103898</v>
      </c>
      <c r="O90" s="432">
        <f t="shared" si="9"/>
        <v>134.93331686429403</v>
      </c>
      <c r="P90" s="432"/>
      <c r="Q90" s="324" t="s">
        <v>495</v>
      </c>
      <c r="R90" s="432">
        <f t="shared" ref="R90:T90" si="10">MIN(R74,R88)</f>
        <v>98.743747760831184</v>
      </c>
      <c r="S90" s="432">
        <f t="shared" si="10"/>
        <v>123.42968470103898</v>
      </c>
      <c r="T90" s="432">
        <f t="shared" si="10"/>
        <v>134.93331686429403</v>
      </c>
    </row>
    <row r="91" spans="1:23" ht="15">
      <c r="A91" s="324" t="s">
        <v>341</v>
      </c>
      <c r="B91" s="1120">
        <f>IF(Eingabe!C33="Kappenverankerung HCC",Eingabe!O22,Eingabe!Q22)</f>
        <v>54.38821875</v>
      </c>
      <c r="C91" s="1120"/>
      <c r="D91" s="1120"/>
      <c r="E91" s="63"/>
      <c r="F91" s="318" t="s">
        <v>341</v>
      </c>
      <c r="G91" s="1120">
        <f>IF(Eingabe!C33="Kappenverankerung HCC",Eingabe!P22,Eingabe!R22)</f>
        <v>27.194109375</v>
      </c>
      <c r="H91" s="1120"/>
      <c r="I91" s="1120"/>
      <c r="J91" s="125"/>
      <c r="L91" s="324" t="s">
        <v>340</v>
      </c>
      <c r="M91" s="1118">
        <f>IF(Eingabe!C33="Kappenverankerung HCC",Eingabe!O28,Eingabe!Q28)</f>
        <v>59.842542496499931</v>
      </c>
      <c r="N91" s="1118"/>
      <c r="O91" s="1118"/>
      <c r="P91" s="430"/>
      <c r="Q91" s="318" t="s">
        <v>340</v>
      </c>
      <c r="R91" s="1120">
        <f>IF(Eingabe!C33="Kappenverankerung HCC",Eingabe!P28,Eingabe!R28)</f>
        <v>29.921271248249965</v>
      </c>
      <c r="S91" s="1120"/>
      <c r="T91" s="1131"/>
    </row>
    <row r="92" spans="1:23">
      <c r="A92" s="110" t="s">
        <v>231</v>
      </c>
      <c r="B92" s="323">
        <f>$B$91/B90</f>
        <v>0.55080164550503574</v>
      </c>
      <c r="C92" s="323">
        <f>$B$91/C90</f>
        <v>0.44064131640402854</v>
      </c>
      <c r="D92" s="323">
        <f>$B$91/D90</f>
        <v>0.40307479289714382</v>
      </c>
      <c r="E92" s="328"/>
      <c r="F92" s="299" t="s">
        <v>229</v>
      </c>
      <c r="G92" s="323">
        <f>$G$91/G90</f>
        <v>0.27540082275251787</v>
      </c>
      <c r="H92" s="323">
        <f>$G$91/H90</f>
        <v>0.22032065820201427</v>
      </c>
      <c r="I92" s="323">
        <f>$G$91/I90</f>
        <v>0.20153739644857191</v>
      </c>
      <c r="J92" s="127"/>
      <c r="L92" s="110" t="s">
        <v>234</v>
      </c>
      <c r="M92" s="300">
        <f>$M$91/M90</f>
        <v>0.60603880097244756</v>
      </c>
      <c r="N92" s="300">
        <f>$M$91/N90</f>
        <v>0.48483104077795802</v>
      </c>
      <c r="O92" s="300">
        <f>$M$91/O90</f>
        <v>0.44349715761219405</v>
      </c>
      <c r="P92" s="300"/>
      <c r="Q92" s="299" t="s">
        <v>234</v>
      </c>
      <c r="R92" s="300">
        <f>$R$91/R90</f>
        <v>0.30301940048622378</v>
      </c>
      <c r="S92" s="300">
        <f>$R$91/S90</f>
        <v>0.24241552038897901</v>
      </c>
      <c r="T92" s="301">
        <f>$R$91/T90</f>
        <v>0.22174857880609702</v>
      </c>
    </row>
    <row r="93" spans="1:23">
      <c r="A93" s="124"/>
      <c r="B93" s="53"/>
      <c r="C93" s="53"/>
      <c r="D93" s="53"/>
      <c r="E93" s="53"/>
      <c r="F93" s="53"/>
      <c r="G93" s="53"/>
      <c r="H93" s="53"/>
      <c r="I93" s="53"/>
      <c r="J93" s="125"/>
      <c r="K93" s="72"/>
      <c r="L93" s="194"/>
      <c r="M93" s="195"/>
      <c r="N93" s="195"/>
      <c r="O93" s="195"/>
      <c r="P93" s="195"/>
      <c r="Q93" s="195"/>
      <c r="R93" s="195"/>
      <c r="S93" s="195"/>
      <c r="T93" s="196"/>
    </row>
    <row r="94" spans="1:23">
      <c r="A94" s="126" t="s">
        <v>237</v>
      </c>
      <c r="B94" s="53"/>
      <c r="C94" s="53"/>
      <c r="D94" s="53"/>
      <c r="E94" s="53"/>
      <c r="F94" s="41" t="s">
        <v>237</v>
      </c>
      <c r="G94" s="53"/>
      <c r="H94" s="53"/>
      <c r="I94" s="53"/>
      <c r="J94" s="125"/>
      <c r="K94" s="72"/>
      <c r="L94" s="126" t="s">
        <v>241</v>
      </c>
      <c r="M94" s="53"/>
      <c r="N94" s="53"/>
      <c r="O94" s="53"/>
      <c r="P94" s="53"/>
      <c r="Q94" s="41" t="s">
        <v>241</v>
      </c>
      <c r="R94" s="53"/>
      <c r="S94" s="53"/>
      <c r="T94" s="125"/>
      <c r="U94" s="53"/>
      <c r="V94" s="53"/>
      <c r="W94" s="53"/>
    </row>
    <row r="95" spans="1:23" ht="27.25" customHeight="1">
      <c r="A95" s="124"/>
      <c r="B95" s="192" t="str">
        <f>B14</f>
        <v>Kappenanker HCC M16</v>
      </c>
      <c r="C95" s="192" t="str">
        <f>C14</f>
        <v>Kappenanker HCC M20</v>
      </c>
      <c r="D95" s="192" t="str">
        <f>D14</f>
        <v>Kappenanker HCC M24</v>
      </c>
      <c r="E95" s="53"/>
      <c r="F95" s="41"/>
      <c r="G95" s="192" t="str">
        <f>G14</f>
        <v>Kappenanker HCC M16</v>
      </c>
      <c r="H95" s="192" t="str">
        <f>H14</f>
        <v>Kappenanker HCC M20</v>
      </c>
      <c r="I95" s="192" t="str">
        <f>I14</f>
        <v>Kappenanker HCC M24</v>
      </c>
      <c r="J95" s="125"/>
      <c r="K95" s="72"/>
      <c r="L95" s="124"/>
      <c r="M95" s="302" t="str">
        <f>M57</f>
        <v>Kappenanker HCC M16</v>
      </c>
      <c r="N95" s="302" t="str">
        <f>N57</f>
        <v>Kappenanker HCC M20</v>
      </c>
      <c r="O95" s="302" t="str">
        <f>O57</f>
        <v>Kappenanker HCC M24</v>
      </c>
      <c r="P95" s="302"/>
      <c r="Q95" s="53"/>
      <c r="R95" s="192" t="str">
        <f>R57</f>
        <v>Kappenanker HCC M16</v>
      </c>
      <c r="S95" s="192" t="str">
        <f>S57</f>
        <v>Kappenanker HCC M20</v>
      </c>
      <c r="T95" s="303" t="str">
        <f>T57</f>
        <v>Kappenanker HCC M24</v>
      </c>
      <c r="U95" s="192"/>
      <c r="V95" s="192"/>
      <c r="W95" s="53"/>
    </row>
    <row r="96" spans="1:23">
      <c r="A96" s="124" t="s">
        <v>236</v>
      </c>
      <c r="B96" s="434">
        <f>B61</f>
        <v>0.10830934528293028</v>
      </c>
      <c r="C96" s="434">
        <f>C61</f>
        <v>8.6647476226344222E-2</v>
      </c>
      <c r="D96" s="434">
        <f>D61</f>
        <v>7.9260414842648175E-2</v>
      </c>
      <c r="E96" s="53"/>
      <c r="F96" s="53" t="s">
        <v>236</v>
      </c>
      <c r="G96" s="434">
        <f>G61</f>
        <v>8.4645118582458115E-2</v>
      </c>
      <c r="H96" s="434">
        <f>H61</f>
        <v>6.7716094865966497E-2</v>
      </c>
      <c r="I96" s="434">
        <f>I61</f>
        <v>6.1943013280388912E-2</v>
      </c>
      <c r="J96" s="125"/>
      <c r="K96" s="72"/>
      <c r="L96" s="124" t="s">
        <v>242</v>
      </c>
      <c r="M96" s="434">
        <f>M61</f>
        <v>0.11914027981122328</v>
      </c>
      <c r="N96" s="434">
        <f>N61</f>
        <v>9.5312223848978639E-2</v>
      </c>
      <c r="O96" s="434">
        <f>O61</f>
        <v>8.7186456326912978E-2</v>
      </c>
      <c r="P96" s="304"/>
      <c r="Q96" s="53" t="s">
        <v>242</v>
      </c>
      <c r="R96" s="304">
        <f>R61</f>
        <v>9.310963044070393E-2</v>
      </c>
      <c r="S96" s="304">
        <f>S61</f>
        <v>7.4487704352563147E-2</v>
      </c>
      <c r="T96" s="305">
        <f>T61</f>
        <v>6.8137314608427799E-2</v>
      </c>
      <c r="W96" s="53"/>
    </row>
    <row r="97" spans="1:23">
      <c r="A97" s="124" t="s">
        <v>235</v>
      </c>
      <c r="B97" s="434">
        <f>MAX(B92,B69)</f>
        <v>2.3562223367724724</v>
      </c>
      <c r="C97" s="434">
        <f>MAX(C92,C69)</f>
        <v>1.3720046809265567</v>
      </c>
      <c r="D97" s="434">
        <f>MAX(D92,D69)</f>
        <v>0.8924738441650697</v>
      </c>
      <c r="E97" s="53"/>
      <c r="F97" s="53" t="s">
        <v>235</v>
      </c>
      <c r="G97" s="434">
        <f>MAX(G92,G69)</f>
        <v>2.3165269804561452</v>
      </c>
      <c r="H97" s="434">
        <f>MAX(H92,H69)</f>
        <v>1.3575366110554514</v>
      </c>
      <c r="I97" s="434">
        <f>MAX(I92,I69)</f>
        <v>0.8924738441650697</v>
      </c>
      <c r="J97" s="125"/>
      <c r="K97" s="75"/>
      <c r="L97" s="124" t="s">
        <v>243</v>
      </c>
      <c r="M97" s="434">
        <f>MAX(M92,M69)</f>
        <v>2.6130096866516048</v>
      </c>
      <c r="N97" s="434">
        <f>MAX(N92,N69)</f>
        <v>1.5169959519495004</v>
      </c>
      <c r="O97" s="434">
        <f>MAX(O92,O69)</f>
        <v>0.98527348951092064</v>
      </c>
      <c r="P97" s="304"/>
      <c r="Q97" s="53" t="s">
        <v>243</v>
      </c>
      <c r="R97" s="304">
        <f>MAX(R92,R69)</f>
        <v>2.5642925067798235</v>
      </c>
      <c r="S97" s="304">
        <f>MAX(S92,S69)</f>
        <v>1.4993325911237134</v>
      </c>
      <c r="T97" s="305">
        <f>MAX(T92,T69)</f>
        <v>0.97738453525303992</v>
      </c>
      <c r="U97" s="53" t="s">
        <v>547</v>
      </c>
      <c r="W97" s="53"/>
    </row>
    <row r="98" spans="1:23">
      <c r="A98" s="124" t="s">
        <v>21</v>
      </c>
      <c r="B98" s="306">
        <v>1.5</v>
      </c>
      <c r="C98" s="306">
        <v>1.5</v>
      </c>
      <c r="D98" s="306">
        <v>1.5</v>
      </c>
      <c r="E98" s="53"/>
      <c r="F98" s="53" t="s">
        <v>21</v>
      </c>
      <c r="G98" s="306">
        <v>1.5</v>
      </c>
      <c r="H98" s="306">
        <v>1.5</v>
      </c>
      <c r="I98" s="306">
        <v>1.5</v>
      </c>
      <c r="J98" s="125"/>
      <c r="K98" s="72"/>
      <c r="L98" s="124" t="s">
        <v>21</v>
      </c>
      <c r="M98" s="306">
        <v>1.5</v>
      </c>
      <c r="N98" s="306">
        <v>1.5</v>
      </c>
      <c r="O98" s="306">
        <v>1.5</v>
      </c>
      <c r="P98" s="435"/>
      <c r="Q98" s="53" t="s">
        <v>21</v>
      </c>
      <c r="R98" s="306">
        <v>1.5</v>
      </c>
      <c r="S98" s="306">
        <v>1.5</v>
      </c>
      <c r="T98" s="307">
        <v>1.5</v>
      </c>
      <c r="W98" s="53"/>
    </row>
    <row r="99" spans="1:23" ht="13.85">
      <c r="A99" s="325" t="s">
        <v>240</v>
      </c>
      <c r="B99" s="642">
        <f>IF(OR(B96&gt;1,B97&gt;1),MAX(B96,B97),IF(OR(B96=0,B97=0),B96+B97,MIN((B96+B97)/1.2,B96^B98+B97^B98)))</f>
        <v>2.3562223367724724</v>
      </c>
      <c r="C99" s="642">
        <f>IF(OR(C96&gt;1,C97&gt;1),MAX(C96,C97),IF(OR(C96=0,C97=0),C96+C97,MIN(C96^C98+C97^C98,(C96+C97)/1.2)))</f>
        <v>1.3720046809265567</v>
      </c>
      <c r="D99" s="642">
        <f>IF(OR(D96&gt;1,D97&gt;1),MAX(D96,D97),IF(OR(D96=0,D97=0),D96+D97,MIN(D96^D98+D97^D98,(D96+D97)/1.2)))</f>
        <v>0.80977854917309822</v>
      </c>
      <c r="E99" s="59"/>
      <c r="F99" s="59" t="s">
        <v>240</v>
      </c>
      <c r="G99" s="642">
        <f>IF(OR(G96&gt;1,G97&gt;1),MAX(G96,G97),IF(OR(G96=0,G97=0),G96+G97,MIN(G96^G98+G97^G98,(G96+G97)/1.2)))</f>
        <v>2.3165269804561452</v>
      </c>
      <c r="H99" s="642">
        <f>IF(OR(H96&gt;1,H97&gt;1),MAX(H96,H97),IF(OR(H96=0,H97=0),H96+H97,MIN(H96^H98+H97^H98,(H96+H97)/1.2)))</f>
        <v>1.3575366110554514</v>
      </c>
      <c r="I99" s="642">
        <f>IF(OR(I96&gt;1,I97&gt;1),MAX(I96,I97),IF(OR(I96=0,I97=0),I96+I97,MIN(I96^I98+I97^I98,(I96+I97)/1.2)))</f>
        <v>0.79534738120454884</v>
      </c>
      <c r="J99" s="125"/>
      <c r="K99" s="72"/>
      <c r="L99" s="325" t="s">
        <v>244</v>
      </c>
      <c r="M99" s="642">
        <f>IF(OR(M96&gt;1,M97&gt;1),MAX(M96,M97),IF(OR(M96=0,M97=0),M96+M97,MIN(M96^M98+M97^M98,(M96+M97)/1.2)))</f>
        <v>2.6130096866516048</v>
      </c>
      <c r="N99" s="642">
        <f>IF(OR(N96&gt;1,N97&gt;1),MAX(N96,N97),IF(OR(N96=0,N97=0),N96+N97,MIN(N96^N98+N97^N98,(N96+N97)/1.2)))</f>
        <v>1.5169959519495004</v>
      </c>
      <c r="O99" s="642">
        <f>IF(OR(O96&gt;1,O97&gt;1),MAX(O96,O97),IF(OR(O96=0,O97=0),O96+O97,MIN(O96^O98+O97^O98,(O96+O97)/1.2)))</f>
        <v>0.89371662153152809</v>
      </c>
      <c r="P99" s="308"/>
      <c r="Q99" s="59" t="s">
        <v>244</v>
      </c>
      <c r="R99" s="308">
        <f>IF(OR(R96&gt;1,R97&gt;1),MAX(R96,R97),IF(OR(R96=0,R97=0),R96+R97,MIN(R96^R98+R97^R98,(R96+R97)/1.2)))</f>
        <v>2.5642925067798235</v>
      </c>
      <c r="S99" s="308">
        <f>IF(OR(S96&gt;1,S97&gt;1),MAX(S96,S97),IF(OR(S96=0,S97=0),S96+S97,MIN(S96^S98+S97^S98,(S96+S97)/1.2)))</f>
        <v>1.4993325911237134</v>
      </c>
      <c r="T99" s="309">
        <f>IF(OR(T96&gt;1,T97&gt;1),MAX(T96,T97),IF(OR(T96=0,T97=0),T96+T97,MIN(T96^T98+T97^T98,(T96+T97)/1.2)))</f>
        <v>0.87126820821788986</v>
      </c>
      <c r="W99" s="53"/>
    </row>
    <row r="100" spans="1:23">
      <c r="A100" s="131" t="s">
        <v>238</v>
      </c>
      <c r="B100" s="310" t="str">
        <f>IF(MAX(B99,G99)&gt;1,"Unzulässig!","")</f>
        <v>Unzulässig!</v>
      </c>
      <c r="C100" s="310" t="str">
        <f>IF(MAX(C99,H99)&gt;1,"Unzulässig!","")</f>
        <v>Unzulässig!</v>
      </c>
      <c r="D100" s="310" t="str">
        <f>IF(MAX(D99,I99)&gt;1,"Unzulässig!","")</f>
        <v/>
      </c>
      <c r="E100" s="120"/>
      <c r="F100" s="120" t="s">
        <v>238</v>
      </c>
      <c r="G100" s="310" t="str">
        <f>IF(MAX(B99,G99)&gt;1,"Unzulässig!","")</f>
        <v>Unzulässig!</v>
      </c>
      <c r="H100" s="310" t="str">
        <f>IF(MAX(C99,H99)&gt;1,"Unzulässig!","")</f>
        <v>Unzulässig!</v>
      </c>
      <c r="I100" s="310" t="str">
        <f>IF(MAX(D99,I99)&gt;1,"Unzulässig!","")</f>
        <v/>
      </c>
      <c r="J100" s="128"/>
      <c r="K100" s="72"/>
      <c r="L100" s="131" t="s">
        <v>245</v>
      </c>
      <c r="M100" s="310" t="str">
        <f>IF(MAX(M99,R99)&gt;1,"Unzulässig!","")</f>
        <v>Unzulässig!</v>
      </c>
      <c r="N100" s="310" t="str">
        <f>IF(MAX(N99,S99)&gt;1,"Unzulässig!","")</f>
        <v>Unzulässig!</v>
      </c>
      <c r="O100" s="310" t="str">
        <f>IF(MAX(O99,T99)&gt;1,"Unzulässig!","")</f>
        <v/>
      </c>
      <c r="P100" s="310"/>
      <c r="Q100" s="120" t="s">
        <v>245</v>
      </c>
      <c r="R100" s="310" t="str">
        <f>IF(MAX(M99,R99)&gt;1,"Unzulässig!","")</f>
        <v>Unzulässig!</v>
      </c>
      <c r="S100" s="310" t="str">
        <f>IF(MAX(N99,S99)&gt;1,"Unzulässig!","")</f>
        <v>Unzulässig!</v>
      </c>
      <c r="T100" s="311" t="str">
        <f>IF(MAX(O99,T99)&gt;1,"Unzulässig!","")</f>
        <v/>
      </c>
      <c r="W100" s="53"/>
    </row>
    <row r="101" spans="1:23">
      <c r="A101" s="124"/>
      <c r="B101" s="53"/>
      <c r="C101" s="53"/>
      <c r="D101" s="53"/>
      <c r="E101" s="53"/>
      <c r="F101" s="53"/>
      <c r="G101" s="53"/>
      <c r="H101" s="53"/>
      <c r="I101" s="53"/>
      <c r="J101" s="125"/>
      <c r="K101" s="72"/>
      <c r="L101" s="194"/>
      <c r="M101" s="195"/>
      <c r="N101" s="195"/>
      <c r="O101" s="195"/>
      <c r="P101" s="195"/>
      <c r="Q101" s="195"/>
      <c r="R101" s="195"/>
      <c r="S101" s="195"/>
      <c r="T101" s="196"/>
      <c r="U101" s="53"/>
      <c r="V101" s="53"/>
      <c r="W101" s="53"/>
    </row>
    <row r="102" spans="1:23" ht="25.35">
      <c r="A102" s="326" t="s">
        <v>52</v>
      </c>
      <c r="B102" s="312" t="str">
        <f>LEFT(Eingabe!C4,20)</f>
        <v>Kappenanker HCC M24</v>
      </c>
      <c r="C102" s="193"/>
      <c r="D102" s="193"/>
      <c r="E102" s="53"/>
      <c r="F102" s="313" t="s">
        <v>52</v>
      </c>
      <c r="G102" s="312" t="str">
        <f>LEFT(Eingabe!C4,20)</f>
        <v>Kappenanker HCC M24</v>
      </c>
      <c r="H102" s="193"/>
      <c r="I102" s="193"/>
      <c r="J102" s="125"/>
      <c r="K102" s="72"/>
      <c r="L102" s="326" t="s">
        <v>52</v>
      </c>
      <c r="M102" s="312" t="str">
        <f>LEFT(Eingabe!C4,20)</f>
        <v>Kappenanker HCC M24</v>
      </c>
      <c r="N102" s="193"/>
      <c r="O102" s="193"/>
      <c r="P102" s="193"/>
      <c r="Q102" s="313" t="s">
        <v>52</v>
      </c>
      <c r="R102" s="312" t="str">
        <f>LEFT(Eingabe!C4,20)</f>
        <v>Kappenanker HCC M24</v>
      </c>
      <c r="S102" s="53"/>
      <c r="T102" s="197"/>
      <c r="U102" s="193"/>
      <c r="V102" s="193"/>
      <c r="W102" s="53"/>
    </row>
    <row r="103" spans="1:23">
      <c r="A103" s="126" t="s">
        <v>236</v>
      </c>
      <c r="B103" s="314">
        <f>INDEX(B95:$D$96,2,MATCH($B$102,B95:$D$95))</f>
        <v>7.9260414842648175E-2</v>
      </c>
      <c r="C103" s="53"/>
      <c r="D103" s="53"/>
      <c r="E103" s="53"/>
      <c r="F103" s="41" t="s">
        <v>236</v>
      </c>
      <c r="G103" s="314">
        <f>INDEX($G95:I$97,2,MATCH($B$102,$G95:I$95))</f>
        <v>6.1943013280388912E-2</v>
      </c>
      <c r="H103" s="53"/>
      <c r="I103" s="53"/>
      <c r="J103" s="125"/>
      <c r="K103" s="72"/>
      <c r="L103" s="126" t="s">
        <v>242</v>
      </c>
      <c r="M103" s="314">
        <f>INDEX($M95:O$96,2,MATCH($M$102,$M95:O$95))</f>
        <v>8.7186456326912978E-2</v>
      </c>
      <c r="N103" s="53"/>
      <c r="O103" s="53"/>
      <c r="P103" s="53"/>
      <c r="Q103" s="41" t="s">
        <v>242</v>
      </c>
      <c r="R103" s="314">
        <f>INDEX($R95:T$97,2,MATCH($R$102,$R95:T$95))</f>
        <v>6.8137314608427799E-2</v>
      </c>
      <c r="S103" s="53"/>
      <c r="T103" s="125"/>
      <c r="U103" s="53"/>
      <c r="V103" s="53"/>
      <c r="W103" s="53"/>
    </row>
    <row r="104" spans="1:23">
      <c r="A104" s="126" t="s">
        <v>239</v>
      </c>
      <c r="B104" s="314">
        <f>INDEX(B95:$D$97,3,MATCH($B$102,B95:D95))</f>
        <v>0.8924738441650697</v>
      </c>
      <c r="C104" s="53"/>
      <c r="D104" s="53"/>
      <c r="E104" s="53"/>
      <c r="F104" s="41" t="s">
        <v>239</v>
      </c>
      <c r="G104" s="314">
        <f>INDEX($G95:I$97,3,MATCH($B$102,G95:I95))</f>
        <v>0.8924738441650697</v>
      </c>
      <c r="H104" s="53"/>
      <c r="I104" s="53"/>
      <c r="J104" s="125"/>
      <c r="K104" s="72"/>
      <c r="L104" s="126" t="s">
        <v>246</v>
      </c>
      <c r="M104" s="314">
        <f>INDEX($M95:O$97,3,MATCH($M$102,M95:O95))</f>
        <v>0.98527348951092064</v>
      </c>
      <c r="N104" s="53"/>
      <c r="O104" s="53"/>
      <c r="P104" s="53"/>
      <c r="Q104" s="41" t="s">
        <v>246</v>
      </c>
      <c r="R104" s="314">
        <f>INDEX($R95:T$97,3,MATCH($R$102,R95:T95))</f>
        <v>0.97738453525303992</v>
      </c>
      <c r="S104" s="53"/>
      <c r="T104" s="125"/>
      <c r="U104" s="53"/>
      <c r="V104" s="53"/>
      <c r="W104" s="53"/>
    </row>
    <row r="105" spans="1:23">
      <c r="A105" s="124"/>
      <c r="B105" s="53"/>
      <c r="C105" s="53"/>
      <c r="D105" s="53"/>
      <c r="E105" s="53"/>
      <c r="F105" s="53"/>
      <c r="G105" s="53"/>
      <c r="H105" s="53"/>
      <c r="I105" s="53"/>
      <c r="J105" s="125"/>
      <c r="K105" s="72"/>
      <c r="L105" s="124"/>
      <c r="M105" s="53"/>
      <c r="N105" s="53"/>
      <c r="O105" s="53"/>
      <c r="P105" s="53"/>
      <c r="Q105" s="53"/>
      <c r="R105" s="53"/>
      <c r="S105" s="53"/>
      <c r="T105" s="125"/>
      <c r="U105" s="53"/>
      <c r="V105" s="53"/>
      <c r="W105" s="53"/>
    </row>
    <row r="106" spans="1:23">
      <c r="A106" s="124" t="str">
        <f t="shared" ref="A106:D108" si="11">A11</f>
        <v>Warnung c</v>
      </c>
      <c r="B106" s="63" t="str">
        <f t="shared" si="11"/>
        <v>ok</v>
      </c>
      <c r="C106" s="63" t="str">
        <f t="shared" si="11"/>
        <v>ok</v>
      </c>
      <c r="D106" s="63" t="str">
        <f t="shared" si="11"/>
        <v>ok</v>
      </c>
      <c r="E106" s="53"/>
      <c r="F106" s="53" t="str">
        <f>F11</f>
        <v>Warnung c</v>
      </c>
      <c r="G106" s="63" t="str">
        <f>G11</f>
        <v>ok</v>
      </c>
      <c r="H106" s="63" t="str">
        <f>H11</f>
        <v>ok</v>
      </c>
      <c r="I106" s="63" t="str">
        <f>I11</f>
        <v>ok</v>
      </c>
      <c r="J106" s="125"/>
      <c r="K106" s="72"/>
      <c r="L106" s="327" t="str">
        <f t="shared" ref="L106:O108" si="12">A11</f>
        <v>Warnung c</v>
      </c>
      <c r="M106" s="315" t="str">
        <f t="shared" si="12"/>
        <v>ok</v>
      </c>
      <c r="N106" s="315" t="str">
        <f t="shared" si="12"/>
        <v>ok</v>
      </c>
      <c r="O106" s="315" t="str">
        <f t="shared" si="12"/>
        <v>ok</v>
      </c>
      <c r="P106" s="315"/>
      <c r="Q106" s="316" t="str">
        <f>A11</f>
        <v>Warnung c</v>
      </c>
      <c r="R106" s="315" t="str">
        <f>G11</f>
        <v>ok</v>
      </c>
      <c r="S106" s="315" t="str">
        <f>H11</f>
        <v>ok</v>
      </c>
      <c r="T106" s="317" t="str">
        <f>H11</f>
        <v>ok</v>
      </c>
      <c r="W106" s="53"/>
    </row>
    <row r="107" spans="1:23">
      <c r="A107" s="124" t="str">
        <f t="shared" si="11"/>
        <v>Warnung s Mitte 1.R</v>
      </c>
      <c r="B107" s="63" t="str">
        <f t="shared" si="11"/>
        <v>ok</v>
      </c>
      <c r="C107" s="63" t="str">
        <f t="shared" si="11"/>
        <v>ok</v>
      </c>
      <c r="D107" s="63" t="str">
        <f t="shared" si="11"/>
        <v>ok</v>
      </c>
      <c r="E107" s="53"/>
      <c r="F107" s="53" t="str">
        <f t="shared" ref="F107:I108" si="13">F12</f>
        <v>Warnung s Mitte 2.R</v>
      </c>
      <c r="G107" s="63" t="str">
        <f t="shared" si="13"/>
        <v>ok</v>
      </c>
      <c r="H107" s="63" t="str">
        <f t="shared" si="13"/>
        <v>ok</v>
      </c>
      <c r="I107" s="63" t="str">
        <f t="shared" si="13"/>
        <v>ok</v>
      </c>
      <c r="J107" s="125"/>
      <c r="K107" s="72"/>
      <c r="L107" s="327" t="str">
        <f t="shared" ref="L107:T107" si="14">L12</f>
        <v>Warnung s Rand 1.R</v>
      </c>
      <c r="M107" s="315" t="str">
        <f t="shared" si="14"/>
        <v>ok</v>
      </c>
      <c r="N107" s="315" t="str">
        <f t="shared" si="14"/>
        <v>ok</v>
      </c>
      <c r="O107" s="315" t="str">
        <f t="shared" si="14"/>
        <v>ok</v>
      </c>
      <c r="P107" s="315"/>
      <c r="Q107" s="316" t="str">
        <f t="shared" si="14"/>
        <v>Warnung s Rand 2.R</v>
      </c>
      <c r="R107" s="315" t="str">
        <f t="shared" si="14"/>
        <v>ok</v>
      </c>
      <c r="S107" s="315" t="str">
        <f t="shared" si="14"/>
        <v>ok</v>
      </c>
      <c r="T107" s="317" t="str">
        <f t="shared" si="14"/>
        <v>ok</v>
      </c>
      <c r="W107" s="53"/>
    </row>
    <row r="108" spans="1:23">
      <c r="A108" s="124" t="str">
        <f t="shared" si="11"/>
        <v>Warnung h</v>
      </c>
      <c r="B108" s="63" t="str">
        <f t="shared" si="11"/>
        <v>ok</v>
      </c>
      <c r="C108" s="63" t="str">
        <f t="shared" si="11"/>
        <v>ok</v>
      </c>
      <c r="D108" s="63" t="str">
        <f t="shared" si="11"/>
        <v>ok</v>
      </c>
      <c r="E108" s="53"/>
      <c r="F108" s="53" t="str">
        <f t="shared" si="13"/>
        <v>Warnung h</v>
      </c>
      <c r="G108" s="63" t="str">
        <f t="shared" si="13"/>
        <v>ok</v>
      </c>
      <c r="H108" s="63" t="str">
        <f t="shared" si="13"/>
        <v>ok</v>
      </c>
      <c r="I108" s="63" t="str">
        <f t="shared" si="13"/>
        <v>ok</v>
      </c>
      <c r="J108" s="125"/>
      <c r="K108" s="72"/>
      <c r="L108" s="327" t="str">
        <f t="shared" si="12"/>
        <v>Warnung h</v>
      </c>
      <c r="M108" s="315" t="str">
        <f t="shared" si="12"/>
        <v>ok</v>
      </c>
      <c r="N108" s="315" t="str">
        <f t="shared" si="12"/>
        <v>ok</v>
      </c>
      <c r="O108" s="315" t="str">
        <f t="shared" si="12"/>
        <v>ok</v>
      </c>
      <c r="P108" s="315"/>
      <c r="Q108" s="316" t="str">
        <f>A13</f>
        <v>Warnung h</v>
      </c>
      <c r="R108" s="315" t="str">
        <f>G13</f>
        <v>ok</v>
      </c>
      <c r="S108" s="315" t="str">
        <f>H13</f>
        <v>ok</v>
      </c>
      <c r="T108" s="317" t="str">
        <f>H13</f>
        <v>ok</v>
      </c>
      <c r="W108" s="53"/>
    </row>
    <row r="109" spans="1:23">
      <c r="A109" s="131"/>
      <c r="B109" s="120"/>
      <c r="C109" s="120"/>
      <c r="D109" s="120"/>
      <c r="E109" s="120"/>
      <c r="F109" s="120"/>
      <c r="G109" s="120"/>
      <c r="H109" s="120"/>
      <c r="I109" s="120"/>
      <c r="J109" s="128"/>
      <c r="K109" s="72"/>
      <c r="L109" s="119"/>
      <c r="M109" s="87"/>
      <c r="N109" s="87"/>
      <c r="O109" s="87"/>
      <c r="P109" s="87"/>
      <c r="Q109" s="87"/>
      <c r="R109" s="198"/>
      <c r="S109" s="198"/>
      <c r="T109" s="199"/>
    </row>
    <row r="110" spans="1:23">
      <c r="A110" s="72"/>
      <c r="B110" s="72"/>
      <c r="C110" s="72"/>
      <c r="D110" s="72"/>
      <c r="E110" s="72"/>
      <c r="F110" s="72"/>
      <c r="G110" s="72"/>
      <c r="H110" s="72"/>
      <c r="I110" s="72"/>
      <c r="J110" s="72"/>
      <c r="K110" s="72"/>
      <c r="L110" s="72"/>
      <c r="M110" s="72"/>
      <c r="N110" s="72"/>
      <c r="O110" s="72"/>
      <c r="P110" s="72"/>
      <c r="Q110" s="72"/>
    </row>
    <row r="111" spans="1:23">
      <c r="A111" s="72"/>
      <c r="B111" s="72"/>
      <c r="C111" s="72"/>
      <c r="D111" s="72"/>
      <c r="E111" s="72"/>
      <c r="F111" s="72"/>
      <c r="G111" s="72"/>
      <c r="H111" s="72"/>
      <c r="I111" s="72"/>
      <c r="J111" s="72"/>
      <c r="K111" s="72"/>
      <c r="L111" s="72"/>
      <c r="M111" s="72"/>
      <c r="N111" s="72"/>
      <c r="O111" s="72"/>
      <c r="P111" s="72"/>
      <c r="Q111" s="72"/>
    </row>
    <row r="112" spans="1:23">
      <c r="A112" s="72"/>
      <c r="B112" s="72"/>
      <c r="C112" s="72"/>
      <c r="D112" s="72"/>
      <c r="E112" s="72"/>
      <c r="F112" s="72"/>
      <c r="G112" s="72"/>
      <c r="H112" s="72"/>
      <c r="I112" s="72"/>
      <c r="J112" s="72"/>
      <c r="K112" s="72"/>
      <c r="L112" s="72"/>
      <c r="M112" s="72"/>
      <c r="N112" s="72"/>
      <c r="O112" s="72"/>
      <c r="P112" s="72"/>
      <c r="Q112" s="72"/>
    </row>
    <row r="113" spans="1:17">
      <c r="A113" s="72"/>
      <c r="B113" s="72"/>
      <c r="C113" s="72"/>
      <c r="D113" s="72"/>
      <c r="E113" s="72"/>
      <c r="F113" s="72"/>
      <c r="G113" s="72"/>
      <c r="H113" s="72"/>
      <c r="I113" s="72"/>
      <c r="J113" s="72"/>
      <c r="K113" s="72"/>
      <c r="L113" s="72"/>
      <c r="M113" s="72"/>
      <c r="N113" s="72"/>
      <c r="O113" s="72"/>
      <c r="P113" s="72"/>
      <c r="Q113" s="72"/>
    </row>
    <row r="114" spans="1:17">
      <c r="A114" s="72"/>
      <c r="B114" s="72"/>
      <c r="C114" s="72"/>
      <c r="D114" s="72"/>
      <c r="E114" s="72"/>
      <c r="F114" s="72"/>
      <c r="G114" s="72"/>
      <c r="H114" s="72"/>
      <c r="I114" s="72"/>
      <c r="J114" s="72"/>
      <c r="K114" s="72"/>
      <c r="L114" s="72"/>
      <c r="M114" s="72"/>
      <c r="N114" s="72"/>
      <c r="O114" s="72"/>
      <c r="P114" s="72"/>
      <c r="Q114" s="72"/>
    </row>
  </sheetData>
  <sheetProtection selectLockedCells="1" selectUnlockedCells="1"/>
  <customSheetViews>
    <customSheetView guid="{39DD0EDE-63E7-470F-AA9E-0FA02F254C3F}" showGridLines="0" state="hidden" topLeftCell="A7">
      <selection activeCell="B20" sqref="B20"/>
      <pageMargins left="0.78740157499999996" right="0.78740157499999996" top="0.984251969" bottom="0.984251969" header="0.4921259845" footer="0.4921259845"/>
      <pageSetup paperSize="9" scale="75" orientation="landscape" r:id="rId1"/>
      <headerFooter alignWithMargins="0"/>
    </customSheetView>
  </customSheetViews>
  <mergeCells count="75">
    <mergeCell ref="R66:T66"/>
    <mergeCell ref="B87:D87"/>
    <mergeCell ref="G87:I87"/>
    <mergeCell ref="M56:O56"/>
    <mergeCell ref="B71:D71"/>
    <mergeCell ref="G71:I71"/>
    <mergeCell ref="G81:I81"/>
    <mergeCell ref="G83:I83"/>
    <mergeCell ref="G85:I85"/>
    <mergeCell ref="B73:D73"/>
    <mergeCell ref="B85:D85"/>
    <mergeCell ref="B81:D81"/>
    <mergeCell ref="B83:D83"/>
    <mergeCell ref="G84:I84"/>
    <mergeCell ref="B84:D84"/>
    <mergeCell ref="G73:I73"/>
    <mergeCell ref="M91:O91"/>
    <mergeCell ref="R91:T91"/>
    <mergeCell ref="A89:J89"/>
    <mergeCell ref="L89:T89"/>
    <mergeCell ref="B91:D91"/>
    <mergeCell ref="G91:I91"/>
    <mergeCell ref="B54:G54"/>
    <mergeCell ref="B49:D49"/>
    <mergeCell ref="B56:D56"/>
    <mergeCell ref="A63:E63"/>
    <mergeCell ref="B57:G57"/>
    <mergeCell ref="B68:D68"/>
    <mergeCell ref="G68:I68"/>
    <mergeCell ref="C1:F1"/>
    <mergeCell ref="B66:D66"/>
    <mergeCell ref="G66:I66"/>
    <mergeCell ref="B60:D60"/>
    <mergeCell ref="G60:I60"/>
    <mergeCell ref="G56:I56"/>
    <mergeCell ref="A2:E2"/>
    <mergeCell ref="F2:J2"/>
    <mergeCell ref="G49:I49"/>
    <mergeCell ref="B38:D38"/>
    <mergeCell ref="G38:I38"/>
    <mergeCell ref="F63:J63"/>
    <mergeCell ref="A21:D21"/>
    <mergeCell ref="F21:I21"/>
    <mergeCell ref="L21:O21"/>
    <mergeCell ref="M24:O24"/>
    <mergeCell ref="Q21:T21"/>
    <mergeCell ref="R24:T24"/>
    <mergeCell ref="B24:D24"/>
    <mergeCell ref="G24:I24"/>
    <mergeCell ref="M71:O71"/>
    <mergeCell ref="M73:O73"/>
    <mergeCell ref="R71:T71"/>
    <mergeCell ref="R73:T73"/>
    <mergeCell ref="M38:O38"/>
    <mergeCell ref="R38:T38"/>
    <mergeCell ref="M49:O49"/>
    <mergeCell ref="R49:T49"/>
    <mergeCell ref="R56:T56"/>
    <mergeCell ref="M60:O60"/>
    <mergeCell ref="R60:T60"/>
    <mergeCell ref="M68:O68"/>
    <mergeCell ref="R68:T68"/>
    <mergeCell ref="L63:Q63"/>
    <mergeCell ref="R63:W63"/>
    <mergeCell ref="M66:O66"/>
    <mergeCell ref="M81:O81"/>
    <mergeCell ref="M83:O83"/>
    <mergeCell ref="M84:O84"/>
    <mergeCell ref="M85:O85"/>
    <mergeCell ref="M87:O87"/>
    <mergeCell ref="R81:T81"/>
    <mergeCell ref="R83:T83"/>
    <mergeCell ref="R84:T84"/>
    <mergeCell ref="R85:T85"/>
    <mergeCell ref="R87:T87"/>
  </mergeCells>
  <phoneticPr fontId="25" type="noConversion"/>
  <pageMargins left="0.19685039370078741" right="0.19685039370078741" top="0.98425196850393704" bottom="0.98425196850393704" header="0.51181102362204722" footer="0.51181102362204722"/>
  <pageSetup paperSize="9" scale="81" fitToWidth="0" orientation="portrait" r:id="rId2"/>
  <headerFooter alignWithMargins="0"/>
  <rowBreaks count="1" manualBreakCount="1">
    <brk id="55" max="16383" man="1"/>
  </rowBreaks>
  <colBreaks count="1" manualBreakCount="1">
    <brk id="10" max="1048575" man="1"/>
  </colBreaks>
  <ignoredErrors>
    <ignoredError sqref="M107:O107 R107:T107 C75 H86" formula="1"/>
  </ignoredErrors>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3"/>
  <dimension ref="A1:T100"/>
  <sheetViews>
    <sheetView showGridLines="0" topLeftCell="B46" zoomScale="70" zoomScaleNormal="70" zoomScaleSheetLayoutView="85" workbookViewId="0">
      <selection activeCell="I58" sqref="I58"/>
    </sheetView>
  </sheetViews>
  <sheetFormatPr baseColWidth="10" defaultColWidth="11.33203125" defaultRowHeight="12.7"/>
  <cols>
    <col min="1" max="1" width="18.6640625" style="37" customWidth="1"/>
    <col min="2" max="4" width="15.33203125" style="37" customWidth="1"/>
    <col min="5" max="5" width="7.6640625" style="37" customWidth="1"/>
    <col min="6" max="6" width="18.6640625" style="37" customWidth="1"/>
    <col min="7" max="9" width="15.109375" style="37" customWidth="1"/>
    <col min="10" max="10" width="7.33203125" style="37" customWidth="1"/>
    <col min="11" max="14" width="15.33203125" style="37" customWidth="1"/>
    <col min="15" max="15" width="10.109375" style="37" customWidth="1"/>
    <col min="16" max="18" width="15.109375" style="37" customWidth="1"/>
    <col min="19" max="19" width="15.33203125" style="37" customWidth="1"/>
    <col min="20" max="16384" width="11.33203125" style="37"/>
  </cols>
  <sheetData>
    <row r="1" spans="1:20" ht="17.850000000000001">
      <c r="A1" s="96" t="s">
        <v>117</v>
      </c>
      <c r="B1" s="97"/>
      <c r="C1" s="97"/>
      <c r="D1" s="330" t="s">
        <v>273</v>
      </c>
      <c r="E1" s="97"/>
      <c r="F1" s="97"/>
      <c r="G1" s="97"/>
      <c r="H1" s="97"/>
      <c r="I1" s="97"/>
      <c r="J1" s="121"/>
      <c r="O1" s="331" t="s">
        <v>274</v>
      </c>
    </row>
    <row r="2" spans="1:20">
      <c r="A2" s="1146" t="s">
        <v>34</v>
      </c>
      <c r="B2" s="1117"/>
      <c r="C2" s="1117"/>
      <c r="D2" s="1117"/>
      <c r="E2" s="1117"/>
      <c r="F2" s="1117" t="s">
        <v>35</v>
      </c>
      <c r="G2" s="1117"/>
      <c r="H2" s="1117"/>
      <c r="I2" s="1117"/>
      <c r="J2" s="1147"/>
    </row>
    <row r="3" spans="1:20" ht="15">
      <c r="A3" s="109" t="s">
        <v>102</v>
      </c>
      <c r="B3" s="38" t="str">
        <f>Eingabe!F13</f>
        <v>30</v>
      </c>
      <c r="C3" s="37" t="s">
        <v>13</v>
      </c>
      <c r="D3" s="53" t="s">
        <v>1150</v>
      </c>
      <c r="F3" s="37" t="s">
        <v>102</v>
      </c>
      <c r="G3" s="38" t="str">
        <f>B3</f>
        <v>30</v>
      </c>
      <c r="H3" s="37" t="s">
        <v>13</v>
      </c>
      <c r="J3" s="122"/>
      <c r="K3" s="109" t="s">
        <v>102</v>
      </c>
      <c r="L3" s="38" t="str">
        <f>Eingabe!F13</f>
        <v>30</v>
      </c>
      <c r="M3" s="37" t="s">
        <v>13</v>
      </c>
    </row>
    <row r="4" spans="1:20">
      <c r="A4" s="109" t="s">
        <v>135</v>
      </c>
      <c r="B4" s="38"/>
      <c r="C4" s="37" t="s">
        <v>7</v>
      </c>
      <c r="D4" s="660">
        <f>Eingabe!N3</f>
        <v>1</v>
      </c>
      <c r="F4" s="37" t="s">
        <v>135</v>
      </c>
      <c r="G4" s="38"/>
      <c r="H4" s="37" t="s">
        <v>7</v>
      </c>
      <c r="J4" s="122"/>
    </row>
    <row r="5" spans="1:20">
      <c r="A5" s="124" t="s">
        <v>316</v>
      </c>
      <c r="B5" s="38">
        <f>Eingabe!C16</f>
        <v>300</v>
      </c>
      <c r="C5" s="37" t="s">
        <v>0</v>
      </c>
      <c r="E5" s="39"/>
      <c r="F5" s="53" t="s">
        <v>316</v>
      </c>
      <c r="G5" s="38">
        <f>Eingabe!C16+Eingabe!C17</f>
        <v>560</v>
      </c>
      <c r="H5" s="37" t="s">
        <v>0</v>
      </c>
      <c r="J5" s="123"/>
      <c r="K5" s="39"/>
      <c r="L5" s="39"/>
    </row>
    <row r="6" spans="1:20">
      <c r="A6" s="109" t="s">
        <v>15</v>
      </c>
      <c r="B6" s="40">
        <f>Eingabe!T6</f>
        <v>500</v>
      </c>
      <c r="C6" s="37" t="s">
        <v>0</v>
      </c>
      <c r="E6" s="39"/>
      <c r="F6" s="37" t="s">
        <v>15</v>
      </c>
      <c r="G6" s="40">
        <f>B6</f>
        <v>500</v>
      </c>
      <c r="H6" s="37" t="s">
        <v>0</v>
      </c>
      <c r="J6" s="123"/>
      <c r="K6" s="109" t="s">
        <v>15</v>
      </c>
      <c r="L6" s="40">
        <f>Eingabe!T7</f>
        <v>550</v>
      </c>
      <c r="M6" s="37" t="s">
        <v>0</v>
      </c>
    </row>
    <row r="7" spans="1:20">
      <c r="A7" s="109" t="s">
        <v>36</v>
      </c>
      <c r="B7" s="38">
        <f>Eingabe!C17</f>
        <v>260</v>
      </c>
      <c r="C7" s="37" t="s">
        <v>0</v>
      </c>
      <c r="F7" s="37" t="s">
        <v>36</v>
      </c>
      <c r="G7" s="38">
        <f>B7</f>
        <v>260</v>
      </c>
      <c r="H7" s="37" t="s">
        <v>0</v>
      </c>
      <c r="J7" s="122"/>
    </row>
    <row r="8" spans="1:20">
      <c r="A8" s="109" t="s">
        <v>19</v>
      </c>
      <c r="B8" s="40">
        <f>Eingabe!C18</f>
        <v>145</v>
      </c>
      <c r="C8" s="37" t="s">
        <v>0</v>
      </c>
      <c r="F8" s="37" t="s">
        <v>19</v>
      </c>
      <c r="G8" s="38">
        <f>B8</f>
        <v>145</v>
      </c>
      <c r="H8" s="37" t="s">
        <v>0</v>
      </c>
      <c r="J8" s="122"/>
      <c r="K8" s="93"/>
    </row>
    <row r="9" spans="1:20">
      <c r="A9" s="109" t="s">
        <v>26</v>
      </c>
      <c r="B9" s="40">
        <v>1</v>
      </c>
      <c r="C9" s="37" t="s">
        <v>27</v>
      </c>
      <c r="F9" s="37" t="s">
        <v>26</v>
      </c>
      <c r="G9" s="458">
        <f>B9</f>
        <v>1</v>
      </c>
      <c r="H9" s="37" t="s">
        <v>27</v>
      </c>
      <c r="J9" s="122"/>
    </row>
    <row r="10" spans="1:20">
      <c r="A10" s="124" t="s">
        <v>408</v>
      </c>
      <c r="B10" s="40">
        <f>Eingabe!X50</f>
        <v>36</v>
      </c>
      <c r="G10" s="38"/>
      <c r="J10" s="122"/>
    </row>
    <row r="11" spans="1:20">
      <c r="A11" s="124" t="s">
        <v>475</v>
      </c>
      <c r="B11" s="391">
        <f>Eingabe!O105</f>
        <v>8</v>
      </c>
      <c r="C11" s="37" t="s">
        <v>0</v>
      </c>
      <c r="D11" s="53"/>
      <c r="E11" s="53"/>
      <c r="F11" s="53"/>
      <c r="G11" s="53"/>
      <c r="H11" s="53"/>
      <c r="I11" s="53"/>
      <c r="J11" s="125"/>
    </row>
    <row r="12" spans="1:20" s="51" customFormat="1" ht="31" customHeight="1">
      <c r="A12" s="148"/>
      <c r="B12" s="202" t="s">
        <v>200</v>
      </c>
      <c r="C12" s="202" t="s">
        <v>201</v>
      </c>
      <c r="D12" s="202" t="s">
        <v>202</v>
      </c>
      <c r="E12" s="203"/>
      <c r="F12" s="203"/>
      <c r="G12" s="202" t="str">
        <f t="shared" ref="G12:I13" si="0">B12</f>
        <v>Kappenanker HCC M16</v>
      </c>
      <c r="H12" s="202" t="str">
        <f t="shared" si="0"/>
        <v>Kappenanker HCC M20</v>
      </c>
      <c r="I12" s="202" t="str">
        <f t="shared" si="0"/>
        <v>Kappenanker HCC M24</v>
      </c>
      <c r="J12" s="149"/>
      <c r="L12" s="202" t="s">
        <v>200</v>
      </c>
      <c r="M12" s="202" t="s">
        <v>201</v>
      </c>
      <c r="N12" s="202" t="s">
        <v>202</v>
      </c>
      <c r="O12" s="203"/>
      <c r="Q12" s="202" t="str">
        <f>L12</f>
        <v>Kappenanker HCC M16</v>
      </c>
      <c r="R12" s="202" t="str">
        <f>M12</f>
        <v>Kappenanker HCC M20</v>
      </c>
      <c r="S12" s="202" t="str">
        <f>N12</f>
        <v>Kappenanker HCC M24</v>
      </c>
    </row>
    <row r="13" spans="1:20" ht="15">
      <c r="A13" s="150" t="s">
        <v>179</v>
      </c>
      <c r="B13" s="151">
        <f>Eingabe!C21</f>
        <v>76</v>
      </c>
      <c r="C13" s="151">
        <f>Eingabe!C21</f>
        <v>76</v>
      </c>
      <c r="D13" s="151">
        <f>Eingabe!C21</f>
        <v>76</v>
      </c>
      <c r="E13" s="146" t="s">
        <v>0</v>
      </c>
      <c r="F13" s="146" t="s">
        <v>179</v>
      </c>
      <c r="G13" s="152">
        <f t="shared" si="0"/>
        <v>76</v>
      </c>
      <c r="H13" s="152">
        <f t="shared" si="0"/>
        <v>76</v>
      </c>
      <c r="I13" s="152">
        <f t="shared" si="0"/>
        <v>76</v>
      </c>
      <c r="J13" s="153" t="s">
        <v>0</v>
      </c>
      <c r="K13" s="150" t="s">
        <v>179</v>
      </c>
      <c r="L13" s="151">
        <f>Eingabe!C21</f>
        <v>76</v>
      </c>
      <c r="M13" s="151">
        <f>Eingabe!C21</f>
        <v>76</v>
      </c>
      <c r="N13" s="151">
        <f>Eingabe!C21</f>
        <v>76</v>
      </c>
      <c r="P13" s="146" t="s">
        <v>179</v>
      </c>
      <c r="Q13" s="151">
        <f>Eingabe!C21</f>
        <v>76</v>
      </c>
      <c r="R13" s="151">
        <f>Eingabe!C21</f>
        <v>76</v>
      </c>
      <c r="S13" s="151">
        <f>Eingabe!C21</f>
        <v>76</v>
      </c>
    </row>
    <row r="14" spans="1:20">
      <c r="A14" s="394" t="s">
        <v>415</v>
      </c>
      <c r="B14" s="152">
        <f>IF(Eingabe!$C$15="Sechskantmutter M16",Eingabe!$Z$44,Eingabe!$AB$44)</f>
        <v>24</v>
      </c>
      <c r="C14" s="392">
        <f>IF(Eingabe!$C$15="Sechskantmutter M20",Eingabe!$Z$45,Eingabe!$AB$45)</f>
        <v>50</v>
      </c>
      <c r="D14" s="392">
        <f>IF(Eingabe!$C$15="Sechskantmutter M24",Eingabe!$Z$46,Eingabe!$AB$46)</f>
        <v>36</v>
      </c>
      <c r="E14" s="146"/>
      <c r="F14" s="146"/>
      <c r="G14" s="392">
        <f>IF(Eingabe!$C$15="Sechskantmutter M16",Eingabe!$Z$44,Eingabe!$AB$44)</f>
        <v>24</v>
      </c>
      <c r="H14" s="392">
        <f>IF(Eingabe!$C$15="Sechskantmutter M20",Eingabe!$Z$45,Eingabe!$AB$45)</f>
        <v>50</v>
      </c>
      <c r="I14" s="392">
        <f>IF(Eingabe!$C$15="Sechskantmutter M24",Eingabe!$Z$46,Eingabe!$AB$46)</f>
        <v>36</v>
      </c>
      <c r="J14" s="153"/>
      <c r="L14" s="392">
        <f>IF(Eingabe!$C$15="Sechskantmutter M16",Eingabe!$Z$44,Eingabe!$AB$44)</f>
        <v>24</v>
      </c>
      <c r="M14" s="392">
        <f>IF(Eingabe!$C$15="Sechskantmutter M20",Eingabe!$Z$45,Eingabe!$AB$45)</f>
        <v>50</v>
      </c>
      <c r="N14" s="392">
        <f>IF(Eingabe!$C$15="Sechskantmutter M24",Eingabe!$Z$46,Eingabe!$AB$46)</f>
        <v>36</v>
      </c>
      <c r="Q14" s="392">
        <f>IF(Eingabe!$C$15="Sechskantmutter M16",Eingabe!$Z$44,Eingabe!$AB$44)</f>
        <v>24</v>
      </c>
      <c r="R14" s="392">
        <f>IF(Eingabe!$C$15="Sechskantmutter M20",Eingabe!$Z$45,Eingabe!$AB$45)</f>
        <v>50</v>
      </c>
      <c r="S14" s="392">
        <f>IF(Eingabe!$C$15="Sechskantmutter M24",Eingabe!$Z$46,Eingabe!$AB$46)</f>
        <v>36</v>
      </c>
    </row>
    <row r="15" spans="1:20">
      <c r="A15" s="1129" t="s">
        <v>44</v>
      </c>
      <c r="B15" s="1121"/>
      <c r="C15" s="1121"/>
      <c r="D15" s="1121"/>
      <c r="E15" s="1121"/>
      <c r="F15" s="1121" t="s">
        <v>44</v>
      </c>
      <c r="G15" s="1121"/>
      <c r="H15" s="1121"/>
      <c r="I15" s="1121"/>
      <c r="J15" s="1128"/>
      <c r="K15" s="1129" t="s">
        <v>44</v>
      </c>
      <c r="L15" s="1121"/>
      <c r="M15" s="1121"/>
      <c r="N15" s="1121"/>
      <c r="O15" s="1121"/>
      <c r="P15" s="1121" t="s">
        <v>44</v>
      </c>
      <c r="Q15" s="1121"/>
      <c r="R15" s="1121"/>
      <c r="S15" s="1121"/>
      <c r="T15" s="1128"/>
    </row>
    <row r="16" spans="1:20">
      <c r="A16" s="154" t="s">
        <v>1</v>
      </c>
      <c r="B16" s="146"/>
      <c r="C16" s="146"/>
      <c r="D16" s="146"/>
      <c r="E16" s="146"/>
      <c r="F16" s="155" t="s">
        <v>1</v>
      </c>
      <c r="G16" s="146"/>
      <c r="H16" s="146"/>
      <c r="I16" s="146"/>
      <c r="J16" s="153"/>
      <c r="K16" s="154" t="s">
        <v>1</v>
      </c>
      <c r="L16" s="146"/>
      <c r="M16" s="146"/>
      <c r="N16" s="146"/>
      <c r="O16" s="146"/>
      <c r="P16" s="155" t="s">
        <v>1</v>
      </c>
      <c r="Q16" s="146"/>
      <c r="R16" s="146"/>
      <c r="S16" s="146"/>
    </row>
    <row r="17" spans="1:20" ht="15">
      <c r="A17" s="150" t="s">
        <v>180</v>
      </c>
      <c r="B17" s="152">
        <v>110</v>
      </c>
      <c r="C17" s="152">
        <v>172</v>
      </c>
      <c r="D17" s="152">
        <v>247</v>
      </c>
      <c r="E17" s="146" t="s">
        <v>2</v>
      </c>
      <c r="F17" s="146" t="s">
        <v>180</v>
      </c>
      <c r="G17" s="152">
        <v>110</v>
      </c>
      <c r="H17" s="152">
        <v>172</v>
      </c>
      <c r="I17" s="152">
        <v>247</v>
      </c>
      <c r="J17" s="153" t="s">
        <v>2</v>
      </c>
      <c r="K17" s="150" t="s">
        <v>180</v>
      </c>
      <c r="L17" s="290">
        <v>110</v>
      </c>
      <c r="M17" s="290">
        <v>172</v>
      </c>
      <c r="N17" s="290">
        <v>247</v>
      </c>
      <c r="P17" s="146" t="s">
        <v>180</v>
      </c>
      <c r="Q17" s="290">
        <v>110</v>
      </c>
      <c r="R17" s="290">
        <v>172</v>
      </c>
      <c r="S17" s="290">
        <v>247</v>
      </c>
    </row>
    <row r="18" spans="1:20" ht="15">
      <c r="A18" s="150" t="s">
        <v>181</v>
      </c>
      <c r="B18" s="1138">
        <v>1.87</v>
      </c>
      <c r="C18" s="1137"/>
      <c r="D18" s="1137"/>
      <c r="E18" s="146" t="s">
        <v>7</v>
      </c>
      <c r="F18" s="146" t="s">
        <v>181</v>
      </c>
      <c r="G18" s="1138">
        <v>1.87</v>
      </c>
      <c r="H18" s="1137"/>
      <c r="I18" s="1137"/>
      <c r="J18" s="153" t="s">
        <v>7</v>
      </c>
      <c r="K18" s="150" t="s">
        <v>181</v>
      </c>
      <c r="L18" s="1138">
        <v>1.87</v>
      </c>
      <c r="M18" s="1137"/>
      <c r="N18" s="1137"/>
      <c r="P18" s="146" t="s">
        <v>181</v>
      </c>
      <c r="Q18" s="1138">
        <v>1.87</v>
      </c>
      <c r="R18" s="1137"/>
      <c r="S18" s="1137"/>
    </row>
    <row r="19" spans="1:20" ht="15">
      <c r="A19" s="156" t="s">
        <v>182</v>
      </c>
      <c r="B19" s="157">
        <f>$B$9*B17/$B$18</f>
        <v>58.823529411764703</v>
      </c>
      <c r="C19" s="157">
        <f>$B$9*C17/$B$18</f>
        <v>91.97860962566844</v>
      </c>
      <c r="D19" s="157">
        <f>$B$9*D17/$B$18</f>
        <v>132.08556149732618</v>
      </c>
      <c r="E19" s="158" t="s">
        <v>2</v>
      </c>
      <c r="F19" s="158" t="s">
        <v>182</v>
      </c>
      <c r="G19" s="157">
        <f>$G$9*G17/$G$18</f>
        <v>58.823529411764703</v>
      </c>
      <c r="H19" s="157">
        <f>$G$9*H17/$G$18</f>
        <v>91.97860962566844</v>
      </c>
      <c r="I19" s="157">
        <f>$G$9*I17/$G$18</f>
        <v>132.08556149732618</v>
      </c>
      <c r="J19" s="159" t="s">
        <v>2</v>
      </c>
      <c r="K19" s="156" t="s">
        <v>182</v>
      </c>
      <c r="L19" s="157">
        <f>$B$9*L17/$L$18</f>
        <v>58.823529411764703</v>
      </c>
      <c r="M19" s="157">
        <f>$B$9*M17/$L$18</f>
        <v>91.97860962566844</v>
      </c>
      <c r="N19" s="157">
        <f>$B$9*N17/$L$18</f>
        <v>132.08556149732618</v>
      </c>
      <c r="P19" s="158" t="s">
        <v>182</v>
      </c>
      <c r="Q19" s="157">
        <f>$G$9*Q17/$Q$18</f>
        <v>58.823529411764703</v>
      </c>
      <c r="R19" s="157">
        <f>$G$9*R17/$Q$18</f>
        <v>91.97860962566844</v>
      </c>
      <c r="S19" s="157">
        <f>$G$9*S17/$Q$18</f>
        <v>132.08556149732618</v>
      </c>
    </row>
    <row r="20" spans="1:20">
      <c r="A20" s="154" t="s">
        <v>5</v>
      </c>
      <c r="B20" s="146"/>
      <c r="C20" s="146"/>
      <c r="D20" s="146"/>
      <c r="E20" s="146"/>
      <c r="F20" s="155" t="s">
        <v>5</v>
      </c>
      <c r="G20" s="146"/>
      <c r="H20" s="146"/>
      <c r="I20" s="146"/>
      <c r="J20" s="153"/>
      <c r="K20" s="154" t="s">
        <v>5</v>
      </c>
      <c r="L20" s="146"/>
      <c r="M20" s="146"/>
      <c r="N20" s="146"/>
      <c r="P20" s="155" t="s">
        <v>5</v>
      </c>
      <c r="Q20" s="146"/>
      <c r="R20" s="146"/>
      <c r="S20" s="146"/>
    </row>
    <row r="21" spans="1:20" ht="15">
      <c r="A21" s="150" t="s">
        <v>183</v>
      </c>
      <c r="B21" s="210">
        <f>IF(Eingabe!C15="Sechskantmutter M16",Eingabe!AA44,Eingabe!AD44)</f>
        <v>251.32741228718345</v>
      </c>
      <c r="C21" s="210">
        <f>IF(Eingabe!C15="Sechskantmutter M20",Eingabe!AA45,Eingabe!AD45)</f>
        <v>1649.3361431346414</v>
      </c>
      <c r="D21" s="210">
        <f>IF(Eingabe!C15="Sechskantmutter M24",Eingabe!AA46,Eingabe!AD46)</f>
        <v>565</v>
      </c>
      <c r="E21" s="146"/>
      <c r="F21" s="146" t="s">
        <v>183</v>
      </c>
      <c r="G21" s="210">
        <f>IF(Eingabe!C15="Sechskantmutter M16",Eingabe!$AA$44,Eingabe!$AD$44)</f>
        <v>251.32741228718345</v>
      </c>
      <c r="H21" s="210">
        <f>IF(Eingabe!C15="Sechskantmutter M20",Eingabe!$AA$45,Eingabe!$AD$45)</f>
        <v>1649.3361431346414</v>
      </c>
      <c r="I21" s="210">
        <f>IF(Eingabe!C15="Sechskantmutter M24",Eingabe!$AA$46,Eingabe!$AD$46)</f>
        <v>565</v>
      </c>
      <c r="J21" s="153"/>
      <c r="K21" s="150" t="s">
        <v>183</v>
      </c>
      <c r="L21" s="210">
        <f>IF(Eingabe!C15="Sechskantmutter M16",Eingabe!$AA$44,Eingabe!$AD$44)</f>
        <v>251.32741228718345</v>
      </c>
      <c r="M21" s="210">
        <f>IF(Eingabe!C15="Sechskantmutter M20",Eingabe!$AA$45,Eingabe!$AD$45)</f>
        <v>1649.3361431346414</v>
      </c>
      <c r="N21" s="210">
        <f>IF(Eingabe!C15="Sechskantmutter M24",Eingabe!$AA$46,Eingabe!$AD$46)</f>
        <v>565</v>
      </c>
      <c r="P21" s="146" t="s">
        <v>183</v>
      </c>
      <c r="Q21" s="210">
        <f>IF(Eingabe!C15="Sechskantmutter M16",Eingabe!$AA$44,Eingabe!$AD$44)</f>
        <v>251.32741228718345</v>
      </c>
      <c r="R21" s="210">
        <f>IF(Eingabe!C15="Sechskantmutter M20",Eingabe!$AA$45,Eingabe!$AD$45)</f>
        <v>1649.3361431346414</v>
      </c>
      <c r="S21" s="210">
        <f>IF(Eingabe!C15="Sechskantmutter M24",Eingabe!$AA$46,Eingabe!$AD$46)</f>
        <v>565</v>
      </c>
    </row>
    <row r="22" spans="1:20" ht="15">
      <c r="A22" s="150" t="s">
        <v>184</v>
      </c>
      <c r="B22" s="160">
        <f>6*B3*D4*B21/1000</f>
        <v>45.238934211693021</v>
      </c>
      <c r="C22" s="393">
        <f>6*B3*D4*C21/1000</f>
        <v>296.88050576423547</v>
      </c>
      <c r="D22" s="393">
        <f>6*B3*D4*D21/1000</f>
        <v>101.7</v>
      </c>
      <c r="E22" s="146" t="s">
        <v>2</v>
      </c>
      <c r="F22" s="146" t="s">
        <v>184</v>
      </c>
      <c r="G22" s="160">
        <f>6*G3*D4*G21/1000</f>
        <v>45.238934211693021</v>
      </c>
      <c r="H22" s="393">
        <f>6*G3*D4*H21/1000</f>
        <v>296.88050576423547</v>
      </c>
      <c r="I22" s="393">
        <f>6*G3*D4*I21/1000</f>
        <v>101.7</v>
      </c>
      <c r="J22" s="153" t="s">
        <v>2</v>
      </c>
      <c r="K22" s="150" t="s">
        <v>184</v>
      </c>
      <c r="L22" s="291">
        <f>6*L3*D4*L21/1000</f>
        <v>45.238934211693021</v>
      </c>
      <c r="M22" s="393">
        <f>6*L3*D4*M21/1000</f>
        <v>296.88050576423547</v>
      </c>
      <c r="N22" s="393">
        <f>6*L3*D4*N21/1000</f>
        <v>101.7</v>
      </c>
      <c r="P22" s="146" t="s">
        <v>184</v>
      </c>
      <c r="Q22" s="291">
        <f>6*L3*D4*Q21/1000</f>
        <v>45.238934211693021</v>
      </c>
      <c r="R22" s="393">
        <f>6*L3*D4*R21/1000</f>
        <v>296.88050576423547</v>
      </c>
      <c r="S22" s="393">
        <f>6*L3*D4*S21/1000</f>
        <v>101.7</v>
      </c>
    </row>
    <row r="23" spans="1:20" s="189" customFormat="1" ht="15">
      <c r="A23" s="124" t="s">
        <v>345</v>
      </c>
      <c r="B23" s="1114">
        <f>(IF(OR(Eingabe!C24="Anprall Fahrzeugrückhaltesystem",Eingabe!C24="Anprall Schrammbord"),1.2,1.5))*1</f>
        <v>1.2</v>
      </c>
      <c r="C23" s="1114"/>
      <c r="D23" s="1114"/>
      <c r="E23" s="53"/>
      <c r="F23" s="53" t="s">
        <v>108</v>
      </c>
      <c r="G23" s="1114">
        <f>(IF(OR(Eingabe!C24="Anprall Fahrzeugrückhaltesystem",Eingabe!C24="Anprall Schrammbord"),1.2,1.5))*1</f>
        <v>1.2</v>
      </c>
      <c r="H23" s="1114"/>
      <c r="I23" s="1114"/>
      <c r="J23" s="283"/>
      <c r="K23" s="124" t="s">
        <v>345</v>
      </c>
      <c r="L23" s="1114">
        <f>(IF(OR(Eingabe!C24="Anprall Fahrzeugrückhaltesystem",Eingabe!C24="Anprall Schrammbord"),1.2,1.5))*1</f>
        <v>1.2</v>
      </c>
      <c r="M23" s="1114"/>
      <c r="N23" s="1114"/>
      <c r="O23" s="53"/>
      <c r="P23" s="53" t="s">
        <v>108</v>
      </c>
      <c r="Q23" s="1114">
        <f>(IF(OR(Eingabe!C24="Anprall Fahrzeugrückhaltesystem",Eingabe!C24="Anprall Schrammbord"),1.2,1.5))*1</f>
        <v>1.2</v>
      </c>
      <c r="R23" s="1114"/>
      <c r="S23" s="1114"/>
      <c r="T23" s="401" t="s">
        <v>419</v>
      </c>
    </row>
    <row r="24" spans="1:20" ht="15">
      <c r="A24" s="110" t="s">
        <v>109</v>
      </c>
      <c r="B24" s="320">
        <f>B22/B23</f>
        <v>37.699111843077517</v>
      </c>
      <c r="C24" s="320">
        <f>(C22/B23)</f>
        <v>247.40042147019622</v>
      </c>
      <c r="D24" s="320">
        <f>(D22/B23)</f>
        <v>84.75</v>
      </c>
      <c r="E24" s="120"/>
      <c r="F24" s="299" t="s">
        <v>109</v>
      </c>
      <c r="G24" s="320">
        <f>G22/G23</f>
        <v>37.699111843077517</v>
      </c>
      <c r="H24" s="320">
        <f>(H22/G23)</f>
        <v>247.40042147019622</v>
      </c>
      <c r="I24" s="320">
        <f>(I22/G23)</f>
        <v>84.75</v>
      </c>
      <c r="J24" s="161"/>
      <c r="K24" s="110" t="s">
        <v>109</v>
      </c>
      <c r="L24" s="320">
        <f>L22/L23</f>
        <v>37.699111843077517</v>
      </c>
      <c r="M24" s="320">
        <f>(M22/L23)</f>
        <v>247.40042147019622</v>
      </c>
      <c r="N24" s="320">
        <f>(N22/L23)</f>
        <v>84.75</v>
      </c>
      <c r="O24" s="53"/>
      <c r="P24" s="299" t="s">
        <v>109</v>
      </c>
      <c r="Q24" s="320">
        <f>Q22/Q23</f>
        <v>37.699111843077517</v>
      </c>
      <c r="R24" s="320">
        <f>(R22/Q23)</f>
        <v>247.40042147019622</v>
      </c>
      <c r="S24" s="320">
        <f>(S22/Q23)</f>
        <v>84.75</v>
      </c>
    </row>
    <row r="25" spans="1:20">
      <c r="A25" s="154" t="s">
        <v>8</v>
      </c>
      <c r="B25" s="152"/>
      <c r="C25" s="152"/>
      <c r="D25" s="152"/>
      <c r="E25" s="146"/>
      <c r="F25" s="155" t="s">
        <v>8</v>
      </c>
      <c r="G25" s="152"/>
      <c r="H25" s="152"/>
      <c r="I25" s="152"/>
      <c r="J25" s="153"/>
      <c r="K25" s="154" t="s">
        <v>8</v>
      </c>
      <c r="L25" s="290"/>
      <c r="M25" s="290"/>
      <c r="N25" s="290"/>
      <c r="P25" s="155" t="s">
        <v>8</v>
      </c>
      <c r="Q25" s="290"/>
      <c r="R25" s="290"/>
      <c r="S25" s="290"/>
    </row>
    <row r="26" spans="1:20">
      <c r="A26" s="150" t="s">
        <v>41</v>
      </c>
      <c r="B26" s="1137">
        <v>8.5</v>
      </c>
      <c r="C26" s="1137"/>
      <c r="D26" s="1137"/>
      <c r="E26" s="146"/>
      <c r="F26" s="146" t="s">
        <v>41</v>
      </c>
      <c r="G26" s="1137">
        <f>B26</f>
        <v>8.5</v>
      </c>
      <c r="H26" s="1137"/>
      <c r="I26" s="1137"/>
      <c r="J26" s="153"/>
      <c r="K26" s="150" t="s">
        <v>41</v>
      </c>
      <c r="L26" s="1137">
        <v>8.5</v>
      </c>
      <c r="M26" s="1137"/>
      <c r="N26" s="1137"/>
      <c r="P26" s="146" t="s">
        <v>41</v>
      </c>
      <c r="Q26" s="1137">
        <f>L26</f>
        <v>8.5</v>
      </c>
      <c r="R26" s="1137"/>
      <c r="S26" s="1137"/>
    </row>
    <row r="27" spans="1:20" ht="16.149999999999999">
      <c r="A27" s="150" t="s">
        <v>185</v>
      </c>
      <c r="B27" s="160">
        <f>$B$26*SQRT($B$3)*D4*B13^1.5/1000</f>
        <v>30.846077222233625</v>
      </c>
      <c r="C27" s="160">
        <f>$B$26*SQRT($B$3)*D4*C13^1.5/1000</f>
        <v>30.846077222233625</v>
      </c>
      <c r="D27" s="160">
        <f>$B$26*SQRT($B$3)*D4*D13^1.5/1000</f>
        <v>30.846077222233625</v>
      </c>
      <c r="E27" s="146" t="s">
        <v>2</v>
      </c>
      <c r="F27" s="146" t="s">
        <v>185</v>
      </c>
      <c r="G27" s="160">
        <f>$G$26*SQRT($G$3)*D4*G13^1.5/1000</f>
        <v>30.846077222233625</v>
      </c>
      <c r="H27" s="160">
        <f>$G$26*SQRT($G$3)*D4*H13^1.5/1000</f>
        <v>30.846077222233625</v>
      </c>
      <c r="I27" s="160">
        <f>$G$26*SQRT($G$3)*D4*I13^1.5/1000</f>
        <v>30.846077222233625</v>
      </c>
      <c r="J27" s="153" t="s">
        <v>2</v>
      </c>
      <c r="K27" s="150" t="s">
        <v>185</v>
      </c>
      <c r="L27" s="291">
        <f>$L$26*SQRT($L$3)*D4*L13^1.5/1000</f>
        <v>30.846077222233625</v>
      </c>
      <c r="M27" s="291">
        <f>$L$26*SQRT($L$3)*D4*M13^1.5/1000</f>
        <v>30.846077222233625</v>
      </c>
      <c r="N27" s="291">
        <f>$L$26*SQRT($L$3)*D4*N13^1.5/1000</f>
        <v>30.846077222233625</v>
      </c>
      <c r="P27" s="146" t="s">
        <v>185</v>
      </c>
      <c r="Q27" s="291">
        <f>$Q$26*SQRT($L$3)*D4*Q13^1.5/1000</f>
        <v>30.846077222233625</v>
      </c>
      <c r="R27" s="291">
        <f>$Q$26*SQRT($L$3)*D4*R13^1.5/1000</f>
        <v>30.846077222233625</v>
      </c>
      <c r="S27" s="291">
        <f>$Q$26*SQRT($L$3)*D4*S13^1.5/1000</f>
        <v>30.846077222233625</v>
      </c>
    </row>
    <row r="28" spans="1:20" ht="16.149999999999999">
      <c r="A28" s="150" t="s">
        <v>186</v>
      </c>
      <c r="B28" s="151">
        <f>(3*B$13)^2</f>
        <v>51984</v>
      </c>
      <c r="C28" s="151">
        <f>(3*C$13)^2</f>
        <v>51984</v>
      </c>
      <c r="D28" s="151">
        <f>(3*D$13)^2</f>
        <v>51984</v>
      </c>
      <c r="E28" s="146" t="s">
        <v>16</v>
      </c>
      <c r="F28" s="146" t="s">
        <v>186</v>
      </c>
      <c r="G28" s="151">
        <f>(3*G$13)^2</f>
        <v>51984</v>
      </c>
      <c r="H28" s="151">
        <f>(3*H$13)^2</f>
        <v>51984</v>
      </c>
      <c r="I28" s="151">
        <f>(3*I$13)^2</f>
        <v>51984</v>
      </c>
      <c r="J28" s="153" t="s">
        <v>16</v>
      </c>
      <c r="K28" s="150" t="s">
        <v>186</v>
      </c>
      <c r="L28" s="151">
        <f>(3*L$13)^2</f>
        <v>51984</v>
      </c>
      <c r="M28" s="151">
        <f>(3*M$13)^2</f>
        <v>51984</v>
      </c>
      <c r="N28" s="151">
        <f>(3*N$13)^2</f>
        <v>51984</v>
      </c>
      <c r="P28" s="146" t="s">
        <v>186</v>
      </c>
      <c r="Q28" s="151">
        <f>(3*Q$13)^2</f>
        <v>51984</v>
      </c>
      <c r="R28" s="151">
        <f>(3*R$13)^2</f>
        <v>51984</v>
      </c>
      <c r="S28" s="151">
        <f>(3*S$13)^2</f>
        <v>51984</v>
      </c>
    </row>
    <row r="29" spans="1:20" ht="15">
      <c r="A29" s="150" t="s">
        <v>187</v>
      </c>
      <c r="B29" s="151">
        <f>MIN(3*B13+B14,$B$6)*IF(Eingabe!$G$5="Einreihige Ankeranordnung",MIN((3*B13+B14)/2+MIN((3*B13+B14)/2,$B$5)),MIN((3*B13+B14),MIN((3*B13+B14)/2,$B$5)+MIN((3*B13+B14)/2,$B$7/2)))</f>
        <v>63504</v>
      </c>
      <c r="C29" s="151">
        <f>MIN((3*C13+C14),$B$6)*IF(Eingabe!$G$5="Einreihige Ankeranordnung",MIN((3*C13+C14)/2+MIN((3*C13+C14)/2,$B$5)),MIN((3*C13+C14),MIN((3*C13+C14)/2,$B$5)+MIN((3*C13+C14)/2,$B$7/2)))</f>
        <v>74782</v>
      </c>
      <c r="D29" s="151">
        <f>MIN((3*D13+D14),$B$6)*IF(Eingabe!$G$5="Einreihige Ankeranordnung",MIN((3*D13+D14)/2+MIN((3*D13+D14)/2,$B$5)),MIN((3*D13+D14),MIN((3*D13+D14)/2,$B$5)+MIN((3*D13+D14)/2,$B$7/2)))</f>
        <v>69168</v>
      </c>
      <c r="E29" s="146" t="s">
        <v>16</v>
      </c>
      <c r="F29" s="146" t="s">
        <v>187</v>
      </c>
      <c r="G29" s="151">
        <f>MIN((3*G13+G14),$G$6)*IF(Eingabe!$G$5="Einreihige Ankeranordnung",MIN((3*G13+G14)/2+MIN((3*G13+G14)/2,$G$5)),MIN((3*G13+G14),MIN((3*G13+G14)/2,$G$5)+MIN((3*G13+G14)/2,$G$7/2)))</f>
        <v>63504</v>
      </c>
      <c r="H29" s="151">
        <f>MIN((3*H13+H14),$G$6)*IF(Eingabe!$G$5="Einreihige Ankeranordnung",MIN((3*H13+H14)/2+MIN((3*H13+H14)/2,$G$5)),MIN((3*H13+H14),MIN((3*H13+H14)/2,$G$5)+MIN((3*H13+H14)/2,$G$7/2)))</f>
        <v>74782</v>
      </c>
      <c r="I29" s="151">
        <f>MIN((3*I13+I14),$G$6)*IF(Eingabe!$G$5="Einreihige Ankeranordnung",MIN((3*I13+I14)/2+MIN((3*I13+I14)/2,$G$5)),MIN((3*I13+I14),MIN((3*I13+I14)/2,$G$5)+MIN((3*I13+I14)/2,$G$7/2)))</f>
        <v>69168</v>
      </c>
      <c r="J29" s="153" t="s">
        <v>16</v>
      </c>
      <c r="K29" s="150" t="s">
        <v>187</v>
      </c>
      <c r="L29" s="151">
        <f>MIN(3*L13+L14,$L$6)*IF(Eingabe!$G$5="Einreihige Ankeranordnung",MIN((3*L13+L14)/2+MIN((3*L13+L14)/2,$B$5)),MIN((3*L13+L14),MIN((3*L13+L14)/2,$B$5)+MIN((3*L13+L14)/2,$B$7/2)))</f>
        <v>63504</v>
      </c>
      <c r="M29" s="151">
        <f>MIN((3*M13+M14),$L$6)*IF(Eingabe!$G$5="Einreihige Ankeranordnung",MIN((3*M13+M14)/2+MIN((3*M13+M14)/2,$B$5)),MIN((3*M13+M14),MIN((3*M13+M14)/2,$B$5)+MIN((3*M13+M14)/2,$B$7/2)))</f>
        <v>74782</v>
      </c>
      <c r="N29" s="151">
        <f>MIN((3*N13+N14),$L$6)*IF(Eingabe!$G$5="Einreihige Ankeranordnung",MIN((3*N13+N14)/2+MIN((3*N13+N14)/2,$B$5)),MIN((3*N13+N14),MIN((3*N13+N14)/2,$B$5)+MIN((3*N13+N14)/2,$B$7/2)))</f>
        <v>69168</v>
      </c>
      <c r="P29" s="146" t="s">
        <v>187</v>
      </c>
      <c r="Q29" s="151">
        <f>MIN((3*Q13+Q14),$L$6)*IF(Eingabe!$G$5="Einreihige Ankeranordnung",MIN((3*Q13+Q14)/2+MIN((3*Q13+Q14)/2,$G$5)),MIN((3*Q13+Q14),MIN((3*Q13+Q14)/2,$G$5)+MIN((3*Q13+Q14)/2,$G$7/2)))</f>
        <v>63504</v>
      </c>
      <c r="R29" s="151">
        <f>MIN((3*R13+R14),$L$6)*IF(Eingabe!$G$5="Einreihige Ankeranordnung",MIN((3*R13+R14)/2+MIN((3*R13+R14)/2,$G$5)),MIN((3*R13+R14),MIN((3*R13+R14)/2,$G$5)+MIN((3*R13+R14)/2,$G$7/2)))</f>
        <v>74782</v>
      </c>
      <c r="S29" s="151">
        <f>MIN((3*S13+S14),$L$6)*IF(Eingabe!$G$5="Einreihige Ankeranordnung",MIN((3*S13+S14)/2+MIN((3*S13+S14)/2,$G$5)),MIN((3*S13+S14),MIN((3*S13+S14)/2,$G$5)+MIN((3*S13+S14)/2,$G$7/2)))</f>
        <v>69168</v>
      </c>
    </row>
    <row r="30" spans="1:20" ht="15">
      <c r="A30" s="150" t="s">
        <v>188</v>
      </c>
      <c r="B30" s="160">
        <f>MIN(1,0.7+0.3*$B$5/(1.5*B13))</f>
        <v>1</v>
      </c>
      <c r="C30" s="160">
        <f>MIN(1,0.7+0.3*$B$5/(1.5*C13))</f>
        <v>1</v>
      </c>
      <c r="D30" s="160">
        <f>MIN(1,0.7+0.3*$B$5/(1.5*D13))</f>
        <v>1</v>
      </c>
      <c r="E30" s="146" t="s">
        <v>7</v>
      </c>
      <c r="F30" s="146" t="s">
        <v>188</v>
      </c>
      <c r="G30" s="160">
        <f>MIN(1,0.7+0.3*$G$5/(1.5*G13))</f>
        <v>1</v>
      </c>
      <c r="H30" s="160">
        <f>MIN(1,0.7+0.3*$G$5/(1.5*H13))</f>
        <v>1</v>
      </c>
      <c r="I30" s="160">
        <f>MIN(1,0.7+0.3*$G$5/(1.5*I13))</f>
        <v>1</v>
      </c>
      <c r="J30" s="153" t="s">
        <v>7</v>
      </c>
      <c r="K30" s="150" t="s">
        <v>188</v>
      </c>
      <c r="L30" s="291">
        <f>MIN(1,0.7+0.3*$B$5/(1.5*L13))</f>
        <v>1</v>
      </c>
      <c r="M30" s="291">
        <f>MIN(1,0.7+0.3*$B$5/(1.5*M13))</f>
        <v>1</v>
      </c>
      <c r="N30" s="291">
        <f>MIN(1,0.7+0.3*$B$5/(1.5*N13))</f>
        <v>1</v>
      </c>
      <c r="P30" s="146" t="s">
        <v>188</v>
      </c>
      <c r="Q30" s="291">
        <f>MIN(1,0.7+0.3*$G$5/(1.5*Q13))</f>
        <v>1</v>
      </c>
      <c r="R30" s="291">
        <f>MIN(1,0.7+0.3*$G$5/(1.5*R13))</f>
        <v>1</v>
      </c>
      <c r="S30" s="291">
        <f>MIN(1,0.7+0.3*$G$5/(1.5*S13))</f>
        <v>1</v>
      </c>
    </row>
    <row r="31" spans="1:20" ht="15">
      <c r="A31" s="150" t="s">
        <v>189</v>
      </c>
      <c r="B31" s="160">
        <v>1</v>
      </c>
      <c r="C31" s="160">
        <v>1</v>
      </c>
      <c r="D31" s="160">
        <v>1</v>
      </c>
      <c r="E31" s="146" t="s">
        <v>7</v>
      </c>
      <c r="F31" s="146" t="s">
        <v>189</v>
      </c>
      <c r="G31" s="160">
        <v>1</v>
      </c>
      <c r="H31" s="160">
        <v>1</v>
      </c>
      <c r="I31" s="160">
        <v>1</v>
      </c>
      <c r="J31" s="153" t="s">
        <v>7</v>
      </c>
      <c r="K31" s="150" t="s">
        <v>189</v>
      </c>
      <c r="L31" s="291">
        <v>1</v>
      </c>
      <c r="M31" s="291">
        <v>1</v>
      </c>
      <c r="N31" s="291">
        <v>1</v>
      </c>
      <c r="P31" s="146" t="s">
        <v>189</v>
      </c>
      <c r="Q31" s="291">
        <v>1</v>
      </c>
      <c r="R31" s="291">
        <v>1</v>
      </c>
      <c r="S31" s="291">
        <v>1</v>
      </c>
    </row>
    <row r="32" spans="1:20" ht="15">
      <c r="A32" s="150" t="s">
        <v>190</v>
      </c>
      <c r="B32" s="160">
        <v>1</v>
      </c>
      <c r="C32" s="160">
        <v>1</v>
      </c>
      <c r="D32" s="160">
        <v>1</v>
      </c>
      <c r="E32" s="146" t="s">
        <v>7</v>
      </c>
      <c r="F32" s="146" t="s">
        <v>190</v>
      </c>
      <c r="G32" s="160">
        <v>1</v>
      </c>
      <c r="H32" s="160">
        <v>1</v>
      </c>
      <c r="I32" s="160">
        <v>1</v>
      </c>
      <c r="J32" s="153" t="s">
        <v>7</v>
      </c>
      <c r="K32" s="150" t="s">
        <v>190</v>
      </c>
      <c r="L32" s="291">
        <v>1</v>
      </c>
      <c r="M32" s="291">
        <v>1</v>
      </c>
      <c r="N32" s="291">
        <v>1</v>
      </c>
      <c r="P32" s="146" t="s">
        <v>190</v>
      </c>
      <c r="Q32" s="291">
        <v>1</v>
      </c>
      <c r="R32" s="291">
        <v>1</v>
      </c>
      <c r="S32" s="291">
        <v>1</v>
      </c>
    </row>
    <row r="33" spans="1:20" ht="15">
      <c r="A33" s="150" t="s">
        <v>191</v>
      </c>
      <c r="B33" s="160">
        <v>1</v>
      </c>
      <c r="C33" s="160">
        <v>1</v>
      </c>
      <c r="D33" s="160">
        <v>1</v>
      </c>
      <c r="E33" s="146" t="s">
        <v>7</v>
      </c>
      <c r="F33" s="146" t="s">
        <v>191</v>
      </c>
      <c r="G33" s="160">
        <v>1</v>
      </c>
      <c r="H33" s="160">
        <v>1</v>
      </c>
      <c r="I33" s="160">
        <v>1</v>
      </c>
      <c r="J33" s="153" t="s">
        <v>7</v>
      </c>
      <c r="K33" s="150" t="s">
        <v>191</v>
      </c>
      <c r="L33" s="291">
        <v>1</v>
      </c>
      <c r="M33" s="291">
        <v>1</v>
      </c>
      <c r="N33" s="291">
        <v>1</v>
      </c>
      <c r="P33" s="146" t="s">
        <v>191</v>
      </c>
      <c r="Q33" s="291">
        <v>1</v>
      </c>
      <c r="R33" s="291">
        <v>1</v>
      </c>
      <c r="S33" s="291">
        <v>1</v>
      </c>
      <c r="T33" s="53"/>
    </row>
    <row r="34" spans="1:20" ht="15">
      <c r="A34" s="150" t="s">
        <v>192</v>
      </c>
      <c r="B34" s="160">
        <f>B27*B29/B28*B30*B31*B32*B33</f>
        <v>37.681773005554099</v>
      </c>
      <c r="C34" s="160">
        <f>C27*C29/C28*C30*C31*C32*C33</f>
        <v>44.373871707315232</v>
      </c>
      <c r="D34" s="160">
        <f>D27*D29/D28*D30*D31*D32*D33</f>
        <v>41.042656765686658</v>
      </c>
      <c r="E34" s="146" t="s">
        <v>2</v>
      </c>
      <c r="F34" s="146" t="s">
        <v>192</v>
      </c>
      <c r="G34" s="160">
        <f>G27*G29/G28*G30*G31*G32*G33</f>
        <v>37.681773005554099</v>
      </c>
      <c r="H34" s="160">
        <f>H27*H29/H28*H30*H31*H32*H33</f>
        <v>44.373871707315232</v>
      </c>
      <c r="I34" s="160">
        <f>I27*I29/I28*I30*I31*I32*I33</f>
        <v>41.042656765686658</v>
      </c>
      <c r="J34" s="153" t="s">
        <v>2</v>
      </c>
      <c r="K34" s="150" t="s">
        <v>192</v>
      </c>
      <c r="L34" s="291">
        <f>L27*L29/L28*L30*L31*L32*L33</f>
        <v>37.681773005554099</v>
      </c>
      <c r="M34" s="291">
        <f>M27*M29/M28*M30*M31*M32*M33</f>
        <v>44.373871707315232</v>
      </c>
      <c r="N34" s="291">
        <f>N27*N29/N28*N30*N31*N32*N33</f>
        <v>41.042656765686658</v>
      </c>
      <c r="P34" s="146" t="s">
        <v>192</v>
      </c>
      <c r="Q34" s="291">
        <f>Q27*Q29/Q28*Q30*Q31*Q32*Q33</f>
        <v>37.681773005554099</v>
      </c>
      <c r="R34" s="291">
        <f>R27*R29/R28*R30*R31*R32*R33</f>
        <v>44.373871707315232</v>
      </c>
      <c r="S34" s="291">
        <f>S27*S29/S28*S30*S31*S32*S33</f>
        <v>41.042656765686658</v>
      </c>
    </row>
    <row r="35" spans="1:20" ht="15">
      <c r="A35" s="150" t="s">
        <v>193</v>
      </c>
      <c r="B35" s="1116">
        <f>(IF(OR(Eingabe!C24="Anprall Fahrzeugrückhaltesystem",Eingabe!C24="Anprall Schrammbord"),1.2,1.5))*1</f>
        <v>1.2</v>
      </c>
      <c r="C35" s="1114"/>
      <c r="D35" s="1114"/>
      <c r="E35" s="146" t="s">
        <v>7</v>
      </c>
      <c r="F35" s="146" t="s">
        <v>193</v>
      </c>
      <c r="G35" s="1114">
        <f>(IF(OR(Eingabe!C24="Anprall Fahrzeugrückhaltesystem",Eingabe!C24="Anprall Schrammbord"),1.2,1.5))*1</f>
        <v>1.2</v>
      </c>
      <c r="H35" s="1114"/>
      <c r="I35" s="1114"/>
      <c r="J35" s="153" t="s">
        <v>7</v>
      </c>
      <c r="K35" s="150" t="s">
        <v>193</v>
      </c>
      <c r="L35" s="1116">
        <f>(IF(OR(Eingabe!C24="Anprall Fahrzeugrückhaltesystem",Eingabe!C24="Anprall Schrammbord"),1.2,1.5))*1</f>
        <v>1.2</v>
      </c>
      <c r="M35" s="1114"/>
      <c r="N35" s="1114"/>
      <c r="P35" s="146" t="s">
        <v>193</v>
      </c>
      <c r="Q35" s="1114">
        <f>(IF(OR(Eingabe!C24="Anprall Fahrzeugrückhaltesystem",Eingabe!C24="Anprall Schrammbord"),1.2,1.5))*1</f>
        <v>1.2</v>
      </c>
      <c r="R35" s="1114"/>
      <c r="S35" s="1114"/>
      <c r="T35" s="401" t="s">
        <v>419</v>
      </c>
    </row>
    <row r="36" spans="1:20" ht="15">
      <c r="A36" s="156" t="s">
        <v>194</v>
      </c>
      <c r="B36" s="320">
        <f>B34/$B$35</f>
        <v>31.401477504628417</v>
      </c>
      <c r="C36" s="320">
        <f>C34/$B$35</f>
        <v>36.978226422762695</v>
      </c>
      <c r="D36" s="320">
        <f>D34/$B$35</f>
        <v>34.202213971405548</v>
      </c>
      <c r="E36" s="299" t="s">
        <v>2</v>
      </c>
      <c r="F36" s="299" t="s">
        <v>106</v>
      </c>
      <c r="G36" s="320">
        <f>G34/$G$35</f>
        <v>31.401477504628417</v>
      </c>
      <c r="H36" s="320">
        <f>H34/$G$35</f>
        <v>36.978226422762695</v>
      </c>
      <c r="I36" s="320">
        <f>I34/$G$35</f>
        <v>34.202213971405548</v>
      </c>
      <c r="J36" s="159" t="s">
        <v>2</v>
      </c>
      <c r="K36" s="156" t="s">
        <v>194</v>
      </c>
      <c r="L36" s="320">
        <f>L34/$L$35</f>
        <v>31.401477504628417</v>
      </c>
      <c r="M36" s="320">
        <f>M34/$L$35</f>
        <v>36.978226422762695</v>
      </c>
      <c r="N36" s="320">
        <f>N34/$L$35</f>
        <v>34.202213971405548</v>
      </c>
      <c r="P36" s="299" t="s">
        <v>106</v>
      </c>
      <c r="Q36" s="320">
        <f>Q34/$Q$35</f>
        <v>31.401477504628417</v>
      </c>
      <c r="R36" s="320">
        <f>R34/$Q$35</f>
        <v>36.978226422762695</v>
      </c>
      <c r="S36" s="320">
        <f>S34/$Q$35</f>
        <v>34.202213971405548</v>
      </c>
    </row>
    <row r="37" spans="1:20">
      <c r="A37" s="132"/>
      <c r="B37" s="133"/>
      <c r="C37" s="133"/>
      <c r="D37" s="133"/>
      <c r="E37" s="133"/>
      <c r="F37" s="134"/>
      <c r="G37" s="133"/>
      <c r="H37" s="133"/>
      <c r="I37" s="133"/>
      <c r="J37" s="135"/>
    </row>
    <row r="38" spans="1:20">
      <c r="A38" s="136"/>
      <c r="B38" s="293"/>
      <c r="C38" s="293"/>
      <c r="D38" s="293"/>
      <c r="E38" s="137"/>
      <c r="F38" s="137"/>
      <c r="G38" s="293"/>
      <c r="H38" s="293"/>
      <c r="I38" s="293"/>
      <c r="J38" s="138"/>
    </row>
    <row r="39" spans="1:20">
      <c r="A39" s="136"/>
      <c r="B39" s="139"/>
      <c r="C39" s="139"/>
      <c r="D39" s="139"/>
      <c r="E39" s="137"/>
      <c r="F39" s="137"/>
      <c r="G39" s="139"/>
      <c r="H39" s="139"/>
      <c r="I39" s="139"/>
      <c r="J39" s="138"/>
    </row>
    <row r="40" spans="1:20">
      <c r="A40" s="136"/>
      <c r="B40" s="1150" t="s">
        <v>116</v>
      </c>
      <c r="C40" s="1150"/>
      <c r="D40" s="1150"/>
      <c r="E40" s="1150"/>
      <c r="F40" s="1150"/>
      <c r="G40" s="1150"/>
      <c r="H40" s="140"/>
      <c r="I40" s="140"/>
      <c r="J40" s="138"/>
    </row>
    <row r="41" spans="1:20">
      <c r="A41" s="136"/>
      <c r="B41" s="292"/>
      <c r="C41" s="292"/>
      <c r="D41" s="292"/>
      <c r="E41" s="137"/>
      <c r="F41" s="137"/>
      <c r="G41" s="292"/>
      <c r="H41" s="292"/>
      <c r="I41" s="292"/>
      <c r="J41" s="138"/>
    </row>
    <row r="42" spans="1:20">
      <c r="A42" s="136"/>
      <c r="B42" s="1149"/>
      <c r="C42" s="1149"/>
      <c r="D42" s="1149"/>
      <c r="E42" s="137"/>
      <c r="F42" s="137"/>
      <c r="G42" s="1151"/>
      <c r="H42" s="1151"/>
      <c r="I42" s="1151"/>
      <c r="J42" s="138"/>
    </row>
    <row r="43" spans="1:20">
      <c r="A43" s="141"/>
      <c r="B43" s="142"/>
      <c r="C43" s="142"/>
      <c r="D43" s="142"/>
      <c r="E43" s="143"/>
      <c r="F43" s="143"/>
      <c r="G43" s="142"/>
      <c r="H43" s="142"/>
      <c r="I43" s="142"/>
      <c r="J43" s="144"/>
    </row>
    <row r="44" spans="1:20">
      <c r="A44" s="114" t="s">
        <v>42</v>
      </c>
      <c r="B44" s="332"/>
      <c r="C44" s="332"/>
      <c r="D44" s="332"/>
      <c r="E44" s="84"/>
      <c r="F44" s="84" t="s">
        <v>42</v>
      </c>
      <c r="G44" s="332"/>
      <c r="H44" s="332"/>
      <c r="I44" s="332"/>
      <c r="J44" s="130"/>
    </row>
    <row r="45" spans="1:20" ht="15">
      <c r="A45" s="116" t="s">
        <v>346</v>
      </c>
      <c r="B45" s="289"/>
      <c r="C45" s="289"/>
      <c r="D45" s="289"/>
      <c r="E45" s="85" t="s">
        <v>0</v>
      </c>
      <c r="F45" s="85" t="s">
        <v>346</v>
      </c>
      <c r="G45" s="289"/>
      <c r="H45" s="289"/>
      <c r="I45" s="289"/>
      <c r="J45" s="115" t="s">
        <v>0</v>
      </c>
      <c r="K45" s="52"/>
    </row>
    <row r="46" spans="1:20">
      <c r="A46" s="85" t="s">
        <v>43</v>
      </c>
      <c r="B46" s="86">
        <v>24</v>
      </c>
      <c r="C46" s="86">
        <v>30</v>
      </c>
      <c r="D46" s="86">
        <v>36</v>
      </c>
      <c r="E46" s="85" t="s">
        <v>0</v>
      </c>
      <c r="F46" s="85" t="s">
        <v>43</v>
      </c>
      <c r="G46" s="86">
        <v>24</v>
      </c>
      <c r="H46" s="86">
        <v>30</v>
      </c>
      <c r="I46" s="86">
        <v>36</v>
      </c>
      <c r="J46" s="115" t="s">
        <v>0</v>
      </c>
      <c r="K46" s="53" t="s">
        <v>351</v>
      </c>
    </row>
    <row r="47" spans="1:20" ht="15">
      <c r="A47" s="116" t="s">
        <v>347</v>
      </c>
      <c r="B47" s="86">
        <f>B21</f>
        <v>251.32741228718345</v>
      </c>
      <c r="C47" s="86">
        <f>C21</f>
        <v>1649.3361431346414</v>
      </c>
      <c r="D47" s="86">
        <f>D21</f>
        <v>565</v>
      </c>
      <c r="E47" s="85" t="s">
        <v>16</v>
      </c>
      <c r="F47" s="85" t="s">
        <v>347</v>
      </c>
      <c r="G47" s="86">
        <f t="shared" ref="G47:I47" si="1">G21</f>
        <v>251.32741228718345</v>
      </c>
      <c r="H47" s="86">
        <f t="shared" si="1"/>
        <v>1649.3361431346414</v>
      </c>
      <c r="I47" s="86">
        <f t="shared" si="1"/>
        <v>565</v>
      </c>
      <c r="J47" s="115" t="s">
        <v>16</v>
      </c>
      <c r="K47" s="93"/>
    </row>
    <row r="48" spans="1:20" ht="16.149999999999999">
      <c r="A48" s="116" t="s">
        <v>348</v>
      </c>
      <c r="B48" s="288">
        <f>6*B3</f>
        <v>180</v>
      </c>
      <c r="C48" s="288">
        <f>6*B3</f>
        <v>180</v>
      </c>
      <c r="D48" s="288">
        <f>6*B3</f>
        <v>180</v>
      </c>
      <c r="E48" s="85" t="s">
        <v>349</v>
      </c>
      <c r="F48" s="85" t="s">
        <v>348</v>
      </c>
      <c r="G48" s="288">
        <f>B48</f>
        <v>180</v>
      </c>
      <c r="H48" s="288">
        <f>C48</f>
        <v>180</v>
      </c>
      <c r="I48" s="288">
        <f>D48</f>
        <v>180</v>
      </c>
      <c r="J48" s="115" t="s">
        <v>349</v>
      </c>
    </row>
    <row r="49" spans="1:20" ht="15">
      <c r="A49" s="116" t="s">
        <v>178</v>
      </c>
      <c r="B49" s="1148">
        <f>IF(Eingabe!C24="Anprall Bord / FRS",1.3,1.5)</f>
        <v>1.5</v>
      </c>
      <c r="C49" s="1148"/>
      <c r="D49" s="1148"/>
      <c r="E49" s="85" t="s">
        <v>7</v>
      </c>
      <c r="F49" s="85" t="s">
        <v>178</v>
      </c>
      <c r="G49" s="1148">
        <f>IF(Eingabe!C24="Anprall Bord / FRS",1.3,1.5)</f>
        <v>1.5</v>
      </c>
      <c r="H49" s="1148"/>
      <c r="I49" s="1148"/>
      <c r="J49" s="115" t="s">
        <v>7</v>
      </c>
      <c r="K49" s="53"/>
    </row>
    <row r="50" spans="1:20" ht="15">
      <c r="A50" s="117" t="s">
        <v>350</v>
      </c>
      <c r="B50" s="92">
        <f>B47*B48/$B$49/1000*$B$9</f>
        <v>30.159289474462014</v>
      </c>
      <c r="C50" s="92">
        <f>C47*C48/$B$49/1000*$B$9</f>
        <v>197.92033717615695</v>
      </c>
      <c r="D50" s="92">
        <f>D47*D48/$B$49/1000*$B$9</f>
        <v>67.8</v>
      </c>
      <c r="E50" s="91" t="s">
        <v>2</v>
      </c>
      <c r="F50" s="91" t="s">
        <v>350</v>
      </c>
      <c r="G50" s="92">
        <f>G47*G48/$G$49/1000*$B$9</f>
        <v>30.159289474462014</v>
      </c>
      <c r="H50" s="92">
        <f>H47*H48/$G$49/1000*$B$9</f>
        <v>197.92033717615695</v>
      </c>
      <c r="I50" s="92">
        <f>I47*I48/$G$49/1000*$B$9</f>
        <v>67.8</v>
      </c>
      <c r="J50" s="118" t="s">
        <v>2</v>
      </c>
    </row>
    <row r="51" spans="1:20" ht="34" customHeight="1">
      <c r="A51" s="150"/>
      <c r="B51" s="146"/>
      <c r="C51" s="146"/>
      <c r="D51" s="146"/>
      <c r="E51" s="146"/>
      <c r="F51" s="146"/>
      <c r="G51" s="146"/>
      <c r="H51" s="146"/>
      <c r="I51" s="146"/>
      <c r="J51" s="153"/>
      <c r="K51" s="53"/>
      <c r="L51" s="333" t="s">
        <v>200</v>
      </c>
      <c r="M51" s="333" t="s">
        <v>201</v>
      </c>
      <c r="N51" s="333" t="s">
        <v>202</v>
      </c>
      <c r="O51" s="334"/>
      <c r="P51" s="53"/>
      <c r="Q51" s="333" t="str">
        <f>L51</f>
        <v>Kappenanker HCC M16</v>
      </c>
      <c r="R51" s="333" t="str">
        <f>M51</f>
        <v>Kappenanker HCC M20</v>
      </c>
      <c r="S51" s="333" t="str">
        <f>N51</f>
        <v>Kappenanker HCC M24</v>
      </c>
    </row>
    <row r="52" spans="1:20" ht="15">
      <c r="A52" s="200" t="s">
        <v>195</v>
      </c>
      <c r="B52" s="162">
        <f>MIN(B36,B19,B24)</f>
        <v>31.401477504628417</v>
      </c>
      <c r="C52" s="162">
        <f>MIN(C36,C19,C24)</f>
        <v>36.978226422762695</v>
      </c>
      <c r="D52" s="162">
        <f>MIN(D36,D19,D24)</f>
        <v>34.202213971405548</v>
      </c>
      <c r="E52" s="155" t="s">
        <v>2</v>
      </c>
      <c r="F52" s="201" t="s">
        <v>195</v>
      </c>
      <c r="G52" s="162">
        <f>MIN(G36,G19,G24)</f>
        <v>31.401477504628417</v>
      </c>
      <c r="H52" s="162">
        <f>MIN(H36,H19,H24)</f>
        <v>36.978226422762695</v>
      </c>
      <c r="I52" s="162">
        <f>MIN(I36,I19,I24)</f>
        <v>34.202213971405548</v>
      </c>
      <c r="J52" s="163" t="s">
        <v>2</v>
      </c>
      <c r="K52" s="200" t="s">
        <v>195</v>
      </c>
      <c r="L52" s="162">
        <f>MIN(L36,L19,L24)</f>
        <v>31.401477504628417</v>
      </c>
      <c r="M52" s="162">
        <f>MIN(M36,M19,M24)</f>
        <v>36.978226422762695</v>
      </c>
      <c r="N52" s="162">
        <f>MIN(N36,N19,N24)</f>
        <v>34.202213971405548</v>
      </c>
      <c r="O52" s="53"/>
      <c r="P52" s="201" t="s">
        <v>195</v>
      </c>
      <c r="Q52" s="162">
        <f>MIN(Q36,Q19,Q24)</f>
        <v>31.401477504628417</v>
      </c>
      <c r="R52" s="162">
        <f>MIN(R36,R19,R24)</f>
        <v>36.978226422762695</v>
      </c>
      <c r="S52" s="162">
        <f>MIN(S36,S19,S24)</f>
        <v>34.202213971405548</v>
      </c>
    </row>
    <row r="53" spans="1:20" ht="15">
      <c r="A53" s="329" t="s">
        <v>353</v>
      </c>
      <c r="B53" s="1120">
        <f>Eingabe!O20</f>
        <v>4.2779482683033754</v>
      </c>
      <c r="C53" s="1120"/>
      <c r="D53" s="1120"/>
      <c r="E53" s="41"/>
      <c r="F53" s="321" t="s">
        <v>353</v>
      </c>
      <c r="G53" s="1120">
        <f>Eingabe!P20</f>
        <v>3.3432704953967556</v>
      </c>
      <c r="H53" s="1120"/>
      <c r="I53" s="1120"/>
      <c r="J53" s="163"/>
      <c r="K53" s="329" t="s">
        <v>337</v>
      </c>
      <c r="L53" s="1120">
        <f>Eingabe!O26</f>
        <v>4.7057430951337125</v>
      </c>
      <c r="M53" s="1120"/>
      <c r="N53" s="1120"/>
      <c r="O53" s="53"/>
      <c r="P53" s="321" t="s">
        <v>352</v>
      </c>
      <c r="Q53" s="1120">
        <f>Eingabe!P26</f>
        <v>3.6775975449364311</v>
      </c>
      <c r="R53" s="1120"/>
      <c r="S53" s="1120"/>
    </row>
    <row r="54" spans="1:20">
      <c r="A54" s="324" t="s">
        <v>249</v>
      </c>
      <c r="B54" s="314">
        <f>$B$53/B52</f>
        <v>0.13623398031741749</v>
      </c>
      <c r="C54" s="314">
        <f>$B$53/C52</f>
        <v>0.11568830314884972</v>
      </c>
      <c r="D54" s="314">
        <f>$B$53/D52</f>
        <v>0.12507810961828131</v>
      </c>
      <c r="E54" s="41"/>
      <c r="F54" s="318" t="s">
        <v>249</v>
      </c>
      <c r="G54" s="314">
        <f>$G$53/G52</f>
        <v>0.10646857285310778</v>
      </c>
      <c r="H54" s="314">
        <f>$G$53/H52</f>
        <v>9.0411867166748094E-2</v>
      </c>
      <c r="I54" s="314">
        <f>$G$53/I52</f>
        <v>9.7750119281513961E-2</v>
      </c>
      <c r="J54" s="163"/>
      <c r="K54" s="324" t="s">
        <v>251</v>
      </c>
      <c r="L54" s="314">
        <f>$L$53/L52</f>
        <v>0.14985737834915921</v>
      </c>
      <c r="M54" s="314">
        <f>$L$53/M52</f>
        <v>0.12725713346373468</v>
      </c>
      <c r="N54" s="314">
        <f>$L$53/N52</f>
        <v>0.13758592058010941</v>
      </c>
      <c r="O54" s="53"/>
      <c r="P54" s="318" t="s">
        <v>251</v>
      </c>
      <c r="Q54" s="314">
        <f>$Q$53/Q52</f>
        <v>0.11711543013841855</v>
      </c>
      <c r="R54" s="314">
        <f>$Q$53/R52</f>
        <v>9.9453053883422904E-2</v>
      </c>
      <c r="S54" s="314">
        <f>$Q$53/S52</f>
        <v>0.10752513120966535</v>
      </c>
    </row>
    <row r="55" spans="1:20">
      <c r="A55" s="150"/>
      <c r="B55" s="146"/>
      <c r="C55" s="146"/>
      <c r="D55" s="146"/>
      <c r="E55" s="146"/>
      <c r="F55" s="146"/>
      <c r="G55" s="146"/>
      <c r="H55" s="146"/>
      <c r="I55" s="146"/>
      <c r="J55" s="153"/>
    </row>
    <row r="56" spans="1:20">
      <c r="A56" s="1129" t="s">
        <v>45</v>
      </c>
      <c r="B56" s="1121"/>
      <c r="C56" s="1121"/>
      <c r="D56" s="1121"/>
      <c r="E56" s="1121"/>
      <c r="F56" s="1121" t="s">
        <v>45</v>
      </c>
      <c r="G56" s="1121"/>
      <c r="H56" s="1121"/>
      <c r="I56" s="1121"/>
      <c r="J56" s="1128"/>
      <c r="K56" s="1129" t="s">
        <v>45</v>
      </c>
      <c r="L56" s="1121"/>
      <c r="M56" s="1121"/>
      <c r="N56" s="1121"/>
      <c r="O56" s="1121"/>
      <c r="P56" s="1121" t="s">
        <v>45</v>
      </c>
      <c r="Q56" s="1121"/>
      <c r="R56" s="1121"/>
      <c r="S56" s="1121"/>
      <c r="T56" s="1128"/>
    </row>
    <row r="57" spans="1:20">
      <c r="A57" s="154" t="s">
        <v>120</v>
      </c>
      <c r="B57" s="146"/>
      <c r="C57" s="146"/>
      <c r="D57" s="146"/>
      <c r="E57" s="146"/>
      <c r="F57" s="155" t="s">
        <v>120</v>
      </c>
      <c r="G57" s="146"/>
      <c r="H57" s="146"/>
      <c r="I57" s="146"/>
      <c r="J57" s="153"/>
      <c r="K57" s="154" t="s">
        <v>120</v>
      </c>
      <c r="L57" s="146"/>
      <c r="M57" s="146"/>
      <c r="N57" s="146"/>
      <c r="O57" s="146"/>
      <c r="P57" s="155" t="s">
        <v>120</v>
      </c>
      <c r="Q57" s="146"/>
      <c r="R57" s="146"/>
      <c r="S57" s="146"/>
      <c r="T57" s="153"/>
    </row>
    <row r="58" spans="1:20" ht="15">
      <c r="A58" s="150" t="s">
        <v>196</v>
      </c>
      <c r="B58" s="160">
        <f>IF((233*(1-(B53/B19)))&lt;0,0.1,(233*(1-(B53/B19))))</f>
        <v>216.05504690925031</v>
      </c>
      <c r="C58" s="455">
        <f>IF((454*(1-B53/C19))&lt;1,0.1,(454*(1-B53/C19)))</f>
        <v>432.88434580916163</v>
      </c>
      <c r="D58" s="455">
        <f>IF(786*(1-B53/D19)&lt;1,0.1,786*(1-B53/D19))</f>
        <v>760.54326346673008</v>
      </c>
      <c r="E58" s="146" t="s">
        <v>119</v>
      </c>
      <c r="F58" s="146" t="s">
        <v>196</v>
      </c>
      <c r="G58" s="455">
        <f>IF(233*(1-G53/G19)&lt;1,0.1,233*(1-G53/G19))</f>
        <v>219.75730556773345</v>
      </c>
      <c r="H58" s="455">
        <f>IF(454*(1-G53/H19)&lt;1,0.1,454*(1-G53/H19))</f>
        <v>437.49785008615152</v>
      </c>
      <c r="I58" s="455">
        <f>IF(786*(1-G53/I19)&lt;1,0.1,786*(1-G53/I19))</f>
        <v>766.1052395160159</v>
      </c>
      <c r="J58" s="153" t="s">
        <v>119</v>
      </c>
      <c r="K58" s="150" t="s">
        <v>196</v>
      </c>
      <c r="L58" s="455">
        <f>IF(233*(1-L53/L19)&lt;1,0.1,233*(1-L53/L19))</f>
        <v>214.36055160017537</v>
      </c>
      <c r="M58" s="455">
        <f>IF(454*(1-L53/M19)&lt;1,0.1,454*(1-L53/M19))</f>
        <v>430.7727803900778</v>
      </c>
      <c r="N58" s="291">
        <f>IF(786*(1-L53/N19)&lt;1,0.1,786*(1-L53/N19))</f>
        <v>757.99758981340312</v>
      </c>
      <c r="O58" s="146" t="s">
        <v>119</v>
      </c>
      <c r="P58" s="146" t="s">
        <v>196</v>
      </c>
      <c r="Q58" s="455">
        <f>IF(233*(1-Q53/Q19)&lt;1,0.1,233*(1-Q53/Q19))</f>
        <v>218.4330361245068</v>
      </c>
      <c r="R58" s="455">
        <f>IF(454*(1-Q53/R19)&lt;1,0.1,454*(1-Q53/R19))</f>
        <v>435.8476350947667</v>
      </c>
      <c r="S58" s="291">
        <f>IF(786*(1-Q53/S19)&lt;1,0.1,786*(1-Q53/S19))</f>
        <v>764.11576346761751</v>
      </c>
      <c r="T58" s="153" t="s">
        <v>119</v>
      </c>
    </row>
    <row r="59" spans="1:20" s="189" customFormat="1" ht="15">
      <c r="A59" s="124" t="s">
        <v>3</v>
      </c>
      <c r="B59" s="1116">
        <v>1.56</v>
      </c>
      <c r="C59" s="1114"/>
      <c r="D59" s="1114"/>
      <c r="E59" s="53" t="s">
        <v>7</v>
      </c>
      <c r="F59" s="53" t="s">
        <v>3</v>
      </c>
      <c r="G59" s="1114">
        <v>1.56</v>
      </c>
      <c r="H59" s="1114"/>
      <c r="I59" s="1114"/>
      <c r="J59" s="125" t="s">
        <v>7</v>
      </c>
      <c r="K59" s="124" t="s">
        <v>3</v>
      </c>
      <c r="L59" s="1116">
        <v>1.56</v>
      </c>
      <c r="M59" s="1114"/>
      <c r="N59" s="1114"/>
      <c r="O59" s="53" t="s">
        <v>7</v>
      </c>
      <c r="P59" s="53" t="s">
        <v>3</v>
      </c>
      <c r="Q59" s="1114">
        <v>1.56</v>
      </c>
      <c r="R59" s="1114"/>
      <c r="S59" s="1114"/>
      <c r="T59" s="125" t="s">
        <v>7</v>
      </c>
    </row>
    <row r="60" spans="1:20" ht="15">
      <c r="A60" s="156" t="s">
        <v>197</v>
      </c>
      <c r="B60" s="320">
        <f>$B$9*B58*2/B59/(16+B11)</f>
        <v>11.541402078485595</v>
      </c>
      <c r="C60" s="320">
        <f>$B$9*C58*2/B59/(20+B11)</f>
        <v>19.820711804448791</v>
      </c>
      <c r="D60" s="320">
        <f>$B$9*D58*2/B59/(24+B11)</f>
        <v>30.470483311968351</v>
      </c>
      <c r="E60" s="299" t="s">
        <v>2</v>
      </c>
      <c r="F60" s="299" t="s">
        <v>329</v>
      </c>
      <c r="G60" s="320">
        <f>$G$9*G58*2/G59/(16+B11)</f>
        <v>11.739172305968667</v>
      </c>
      <c r="H60" s="320">
        <f>$G$9*H58*2/G59/(20+B11)</f>
        <v>20.031952842772505</v>
      </c>
      <c r="I60" s="320">
        <f>$G$9*I58*2/G59/(24+B11)</f>
        <v>30.693318890866021</v>
      </c>
      <c r="J60" s="159" t="s">
        <v>2</v>
      </c>
      <c r="K60" s="156" t="s">
        <v>197</v>
      </c>
      <c r="L60" s="320">
        <f>$B$9*L58*2/L59/(16+B11)</f>
        <v>11.450884166676033</v>
      </c>
      <c r="M60" s="320">
        <f>$B$9*M58*2/L59/(20+B11)</f>
        <v>19.724028406139094</v>
      </c>
      <c r="N60" s="320">
        <f>$B$9*N58*2/L59/(24+B11)</f>
        <v>30.368493181626725</v>
      </c>
      <c r="O60" s="299" t="s">
        <v>2</v>
      </c>
      <c r="P60" s="299" t="s">
        <v>329</v>
      </c>
      <c r="Q60" s="320">
        <f>$G$9*Q58*2/Q59/(16+B11)</f>
        <v>11.668431416907415</v>
      </c>
      <c r="R60" s="320">
        <f>$G$9*R58*2/Q59/(20+B11)</f>
        <v>19.956393548295178</v>
      </c>
      <c r="S60" s="320">
        <f>$G$9*S58*2/Q59/(24+B11)</f>
        <v>30.613612318414162</v>
      </c>
      <c r="T60" s="159" t="s">
        <v>2</v>
      </c>
    </row>
    <row r="61" spans="1:20" ht="15">
      <c r="A61" s="126" t="s">
        <v>354</v>
      </c>
      <c r="B61" s="1120">
        <f>IF(Eingabe!C33="Kappenverankerung HCC",Eingabe!O21,Eingabe!Q21)</f>
        <v>27.194109375</v>
      </c>
      <c r="C61" s="1120"/>
      <c r="D61" s="1120"/>
      <c r="E61" s="41" t="s">
        <v>2</v>
      </c>
      <c r="F61" s="41" t="s">
        <v>354</v>
      </c>
      <c r="G61" s="1120">
        <f>IF(Eingabe!C33="Kappenverankerung HCC",Eingabe!P21,Eingabe!R21)</f>
        <v>27.194109375</v>
      </c>
      <c r="H61" s="1120"/>
      <c r="I61" s="1120"/>
      <c r="J61" s="163" t="s">
        <v>2</v>
      </c>
      <c r="K61" s="126" t="s">
        <v>355</v>
      </c>
      <c r="L61" s="1120">
        <f>IF(Eingabe!C33="Kappenverankerung HCC",Eingabe!O27,Eingabe!Q27)</f>
        <v>29.921271248249965</v>
      </c>
      <c r="M61" s="1120"/>
      <c r="N61" s="1120"/>
      <c r="O61" s="53"/>
      <c r="P61" s="41" t="s">
        <v>355</v>
      </c>
      <c r="Q61" s="1136">
        <f>IF(Eingabe!C33="Kappenverankerung HCC",Eingabe!P27,Eingabe!R27)</f>
        <v>29.921271248249965</v>
      </c>
      <c r="R61" s="1136"/>
      <c r="S61" s="1136"/>
    </row>
    <row r="62" spans="1:20" s="53" customFormat="1">
      <c r="A62" s="110" t="s">
        <v>252</v>
      </c>
      <c r="B62" s="323">
        <f>$B$61/B60</f>
        <v>2.3562223367724724</v>
      </c>
      <c r="C62" s="323">
        <f>$B$61/C60</f>
        <v>1.3720046809265567</v>
      </c>
      <c r="D62" s="323">
        <f>$B$61/D60</f>
        <v>0.8924738441650697</v>
      </c>
      <c r="E62" s="299"/>
      <c r="F62" s="299" t="s">
        <v>252</v>
      </c>
      <c r="G62" s="323">
        <f>$G$61/G60</f>
        <v>2.3165269804561452</v>
      </c>
      <c r="H62" s="323">
        <f>$G$61/H60</f>
        <v>1.3575366110554514</v>
      </c>
      <c r="I62" s="320">
        <f>$G$61/I60</f>
        <v>0.88599442346694723</v>
      </c>
      <c r="J62" s="127"/>
      <c r="K62" s="110" t="s">
        <v>253</v>
      </c>
      <c r="L62" s="323">
        <f>$L$61/L60</f>
        <v>2.6130096866516048</v>
      </c>
      <c r="M62" s="323">
        <f>$L$61/M60</f>
        <v>1.5169959519495004</v>
      </c>
      <c r="N62" s="323">
        <f>$L$61/N60</f>
        <v>0.98527348951092064</v>
      </c>
      <c r="P62" s="299" t="s">
        <v>253</v>
      </c>
      <c r="Q62" s="323">
        <f>$Q$61/Q60</f>
        <v>2.5642925067798235</v>
      </c>
      <c r="R62" s="323">
        <f>$Q$61/R60</f>
        <v>1.4993325911237134</v>
      </c>
      <c r="S62" s="320">
        <f>$Q$61/S60</f>
        <v>0.97738453525303992</v>
      </c>
    </row>
    <row r="63" spans="1:20">
      <c r="A63" s="126" t="s">
        <v>9</v>
      </c>
      <c r="B63" s="53"/>
      <c r="C63" s="53"/>
      <c r="D63" s="53"/>
      <c r="E63" s="53"/>
      <c r="F63" s="41" t="s">
        <v>9</v>
      </c>
      <c r="G63" s="53"/>
      <c r="H63" s="53"/>
      <c r="I63" s="53"/>
      <c r="J63" s="125"/>
      <c r="K63" s="126" t="s">
        <v>9</v>
      </c>
      <c r="L63" s="53"/>
      <c r="M63" s="53"/>
      <c r="N63" s="53"/>
      <c r="P63" s="41" t="s">
        <v>9</v>
      </c>
      <c r="Q63" s="53"/>
      <c r="R63" s="53"/>
      <c r="S63" s="53"/>
    </row>
    <row r="64" spans="1:20">
      <c r="A64" s="124" t="s">
        <v>10</v>
      </c>
      <c r="B64" s="1117">
        <f>IF(Eingabe!C21&lt;60,1,IF(OR(Eingabe!C21&lt;90,Eingabe!C21=90),2,2.5))</f>
        <v>2</v>
      </c>
      <c r="C64" s="1117"/>
      <c r="D64" s="1117"/>
      <c r="E64" s="53" t="s">
        <v>7</v>
      </c>
      <c r="F64" s="53" t="s">
        <v>10</v>
      </c>
      <c r="G64" s="1117">
        <f>IF(Eingabe!C21&lt;60,1,IF(OR(Eingabe!C21&lt;90,Eingabe!C21=90),2,2.5))</f>
        <v>2</v>
      </c>
      <c r="H64" s="1117"/>
      <c r="I64" s="1117"/>
      <c r="J64" s="125" t="s">
        <v>7</v>
      </c>
      <c r="K64" s="124" t="s">
        <v>10</v>
      </c>
      <c r="L64" s="1117">
        <f>IF(Eingabe!C21&lt;60,1,IF(OR(Eingabe!C21&lt;90,Eingabe!C21=90),2,2.5))</f>
        <v>2</v>
      </c>
      <c r="M64" s="1117"/>
      <c r="N64" s="1117"/>
      <c r="P64" s="53" t="s">
        <v>10</v>
      </c>
      <c r="Q64" s="1117">
        <f>IF(Eingabe!C21&lt;60,1,IF(OR(Eingabe!C21&lt;90,Eingabe!C21=90),2,2.5))</f>
        <v>2</v>
      </c>
      <c r="R64" s="1117"/>
      <c r="S64" s="1117"/>
    </row>
    <row r="65" spans="1:20" ht="15">
      <c r="A65" s="150" t="s">
        <v>198</v>
      </c>
      <c r="B65" s="160">
        <f>MIN((B64*B22),(B64*B34))</f>
        <v>75.363546011108198</v>
      </c>
      <c r="C65" s="160">
        <f>MIN((B64*C22),(B64*C34))</f>
        <v>88.747743414630463</v>
      </c>
      <c r="D65" s="160">
        <f>MIN((B64*D22),(B64*D34))</f>
        <v>82.085313531373316</v>
      </c>
      <c r="E65" s="146"/>
      <c r="F65" s="146" t="s">
        <v>198</v>
      </c>
      <c r="G65" s="160">
        <f>MIN((G64*G22),(G64*G34))</f>
        <v>75.363546011108198</v>
      </c>
      <c r="H65" s="160">
        <f>MIN((G64*H22),(G64*H34))</f>
        <v>88.747743414630463</v>
      </c>
      <c r="I65" s="160">
        <f>MIN((G64*I22),(G64*I34))</f>
        <v>82.085313531373316</v>
      </c>
      <c r="J65" s="153"/>
      <c r="K65" s="150" t="s">
        <v>198</v>
      </c>
      <c r="L65" s="291">
        <f>MIN((L64*L22),(L64*L34))</f>
        <v>75.363546011108198</v>
      </c>
      <c r="M65" s="291">
        <f>MIN((L64*M22),(L64*M34))</f>
        <v>88.747743414630463</v>
      </c>
      <c r="N65" s="291">
        <f>MIN((L64*N22),(L64*N34))</f>
        <v>82.085313531373316</v>
      </c>
      <c r="P65" s="146" t="s">
        <v>198</v>
      </c>
      <c r="Q65" s="291">
        <f>MIN((Q64*Q22),(Q64*Q34))</f>
        <v>75.363546011108198</v>
      </c>
      <c r="R65" s="291">
        <f>MIN((Q64*R22),(Q64*R34))</f>
        <v>88.747743414630463</v>
      </c>
      <c r="S65" s="291">
        <f>MIN((Q64*S22),(Q64*S34))</f>
        <v>82.085313531373316</v>
      </c>
    </row>
    <row r="66" spans="1:20" s="189" customFormat="1" ht="15">
      <c r="A66" s="124" t="s">
        <v>339</v>
      </c>
      <c r="B66" s="1116">
        <f>(IF(OR(Eingabe!C24="Anprall Fahrzeugrückhaltesystem",Eingabe!C24="Anprall Schrammbord"),1.2,1.5))*1</f>
        <v>1.2</v>
      </c>
      <c r="C66" s="1114"/>
      <c r="D66" s="1114"/>
      <c r="E66" s="53" t="s">
        <v>7</v>
      </c>
      <c r="F66" s="53" t="s">
        <v>339</v>
      </c>
      <c r="G66" s="1114">
        <f>(IF(OR(Eingabe!C24="Anprall Fahrzeugrückhaltesystem",Eingabe!C24="Anprall Schrammbord"),1.2,1.5))*1</f>
        <v>1.2</v>
      </c>
      <c r="H66" s="1114"/>
      <c r="I66" s="1114"/>
      <c r="J66" s="125" t="s">
        <v>7</v>
      </c>
      <c r="K66" s="124" t="s">
        <v>339</v>
      </c>
      <c r="L66" s="1116">
        <f>(IF(OR(Eingabe!C24="Anprall Fahrzeugrückhaltesystem",Eingabe!C24="Anprall Schrammbord"),1.2,1.5))*1</f>
        <v>1.2</v>
      </c>
      <c r="M66" s="1114"/>
      <c r="N66" s="1114"/>
      <c r="P66" s="53" t="s">
        <v>339</v>
      </c>
      <c r="Q66" s="1114">
        <f>(IF(OR(Eingabe!C24="Anprall Fahrzeugrückhaltesystem",Eingabe!C24="Anprall Schrammbord"),1.2,1.5))*1</f>
        <v>1.2</v>
      </c>
      <c r="R66" s="1114"/>
      <c r="S66" s="1114"/>
      <c r="T66" s="401" t="s">
        <v>419</v>
      </c>
    </row>
    <row r="67" spans="1:20" ht="15">
      <c r="A67" s="156" t="s">
        <v>199</v>
      </c>
      <c r="B67" s="157">
        <f>B65/$B$66</f>
        <v>62.802955009256834</v>
      </c>
      <c r="C67" s="157">
        <f>C65/$B$66</f>
        <v>73.956452845525391</v>
      </c>
      <c r="D67" s="157">
        <f>D65/$B$66</f>
        <v>68.404427942811097</v>
      </c>
      <c r="E67" s="158" t="s">
        <v>2</v>
      </c>
      <c r="F67" s="158" t="s">
        <v>199</v>
      </c>
      <c r="G67" s="157">
        <f>G65/$G$66</f>
        <v>62.802955009256834</v>
      </c>
      <c r="H67" s="157">
        <f>H65/$G$66</f>
        <v>73.956452845525391</v>
      </c>
      <c r="I67" s="157">
        <f>I65/$G$66</f>
        <v>68.404427942811097</v>
      </c>
      <c r="J67" s="159" t="s">
        <v>2</v>
      </c>
      <c r="K67" s="156" t="s">
        <v>199</v>
      </c>
      <c r="L67" s="157">
        <f>L65/$L$66</f>
        <v>62.802955009256834</v>
      </c>
      <c r="M67" s="157">
        <f>M65/$L$66</f>
        <v>73.956452845525391</v>
      </c>
      <c r="N67" s="157">
        <f>N65/$L$66</f>
        <v>68.404427942811097</v>
      </c>
      <c r="P67" s="158" t="s">
        <v>199</v>
      </c>
      <c r="Q67" s="157">
        <f>Q65/$Q$66</f>
        <v>62.802955009256834</v>
      </c>
      <c r="R67" s="157">
        <f>R65/$Q$66</f>
        <v>73.956452845525391</v>
      </c>
      <c r="S67" s="157">
        <f>S65/$Q$66</f>
        <v>68.404427942811097</v>
      </c>
    </row>
    <row r="68" spans="1:20">
      <c r="A68" s="441" t="s">
        <v>11</v>
      </c>
      <c r="B68" s="442">
        <f>IF(AND($B$5&lt;960,$B$5&lt;10*B$13,$B$5&gt;$B$8/1.5,$B$5&gt;$B$6/3),MAX($B$6/3,$B$8/1.5),$B$5)</f>
        <v>166.66666666666666</v>
      </c>
      <c r="C68" s="442">
        <f>IF(AND($B$5&lt;1200,$B$5&lt;10*C$13,$B$5&gt;$B$8/1.5,$B$5&gt;$B$6/3),MAX($B$6/3,$B$8/1.5),$B$5)</f>
        <v>166.66666666666666</v>
      </c>
      <c r="D68" s="442">
        <f>IF(AND($B$5&lt;1200,$B$5&lt;10*D$13,$B$5&gt;$B$8/1.5,$B$5&gt;$B$6/3),MAX($B$6/3,$B$8/1.5),$B$5)</f>
        <v>166.66666666666666</v>
      </c>
      <c r="E68" s="190"/>
      <c r="F68" s="443" t="s">
        <v>11</v>
      </c>
      <c r="G68" s="442">
        <f>IF(AND($G$5&lt;960,$G$5&lt;10*G$13,$G$5&gt;$G$8/1.5,$G$5&gt;$G$6/3),MAX($G$6/3,$G$8/1.5),$G$5)</f>
        <v>166.66666666666666</v>
      </c>
      <c r="H68" s="442">
        <f>IF(AND($G$5&lt;1200,$G$5&lt;10*H$13,$G$5&gt;$G$8/1.5,$G$5&gt;$G$6/3),MAX($G$6/3,$G$8/1.5),$G$5)</f>
        <v>166.66666666666666</v>
      </c>
      <c r="I68" s="444">
        <f>IF(AND($G$5&lt;10*I$13,$G$5&gt;$G$8/1.5,$G$5&gt;$G$6/3),MAX($G$6/3,$G$8/1.5),$G$5)</f>
        <v>166.66666666666666</v>
      </c>
      <c r="J68" s="445"/>
    </row>
    <row r="69" spans="1:20">
      <c r="A69" s="446" t="s">
        <v>21</v>
      </c>
      <c r="B69" s="447">
        <f>0.1*((B13/B68)^0.5)</f>
        <v>6.7527772064536529E-2</v>
      </c>
      <c r="C69" s="447">
        <f>0.1*((C13/C68)^0.5)</f>
        <v>6.7527772064536529E-2</v>
      </c>
      <c r="D69" s="447">
        <f>0.1*((D13/D68)^0.5)</f>
        <v>6.7527772064536529E-2</v>
      </c>
      <c r="E69" s="190" t="s">
        <v>7</v>
      </c>
      <c r="F69" s="190" t="s">
        <v>21</v>
      </c>
      <c r="G69" s="447">
        <f>0.1*((G13/G68)^0.5)</f>
        <v>6.7527772064536529E-2</v>
      </c>
      <c r="H69" s="447">
        <f>0.1*((H13/H68)^0.5)</f>
        <v>6.7527772064536529E-2</v>
      </c>
      <c r="I69" s="447">
        <f>0.1*((I13/I68)^0.5)</f>
        <v>6.7527772064536529E-2</v>
      </c>
      <c r="J69" s="445" t="s">
        <v>7</v>
      </c>
    </row>
    <row r="70" spans="1:20">
      <c r="A70" s="446" t="s">
        <v>134</v>
      </c>
      <c r="B70" s="447">
        <f>0.1*((16/B68)^0.2)</f>
        <v>6.2582692890637961E-2</v>
      </c>
      <c r="C70" s="447">
        <f>0.1*((20/C68)^0.2)</f>
        <v>6.543893899412373E-2</v>
      </c>
      <c r="D70" s="447">
        <f>0.1*((24/D68)^0.2)</f>
        <v>6.7869163805431773E-2</v>
      </c>
      <c r="E70" s="190" t="s">
        <v>7</v>
      </c>
      <c r="F70" s="190" t="s">
        <v>134</v>
      </c>
      <c r="G70" s="447">
        <f>0.1*((16/G68)^0.2)</f>
        <v>6.2582692890637961E-2</v>
      </c>
      <c r="H70" s="447">
        <f>0.1*((20/H68)^0.2)</f>
        <v>6.543893899412373E-2</v>
      </c>
      <c r="I70" s="447">
        <f>0.1*((24/I68)^0.2)</f>
        <v>6.7869163805431773E-2</v>
      </c>
      <c r="J70" s="445" t="s">
        <v>7</v>
      </c>
    </row>
    <row r="71" spans="1:20" ht="16.149999999999999">
      <c r="A71" s="446" t="s">
        <v>496</v>
      </c>
      <c r="B71" s="442">
        <f>1.7*16^B69*B13^B70*SQRT($B$3)*$B$68^1.5/1000</f>
        <v>31.681124802100221</v>
      </c>
      <c r="C71" s="442">
        <f>1.7*20^C69*C13^C70*SQRT($B$3)*$C$68^1.5/1000</f>
        <v>32.562427679366749</v>
      </c>
      <c r="D71" s="442">
        <f>1.7*20^D69*D13^D70*SQRT($B$3)*$D$68^1.5/1000</f>
        <v>32.906945803841083</v>
      </c>
      <c r="E71" s="190" t="s">
        <v>2</v>
      </c>
      <c r="F71" s="190" t="s">
        <v>496</v>
      </c>
      <c r="G71" s="442">
        <f>1.7*16^G69*G13^G70*SQRT($B$3)*$G$68^1.5/1000</f>
        <v>31.681124802100221</v>
      </c>
      <c r="H71" s="442">
        <f>1.7*20^H69*H13^H70*SQRT($B$3)*$H$68^1.5/1000</f>
        <v>32.562427679366749</v>
      </c>
      <c r="I71" s="442">
        <f>0.45*SQRT(I70)*(I69/I70)^0.2*SQRT($B$3)*$I$68^1.5/1000</f>
        <v>1.3802078697154774</v>
      </c>
      <c r="J71" s="445" t="s">
        <v>2</v>
      </c>
    </row>
    <row r="72" spans="1:20" ht="16.149999999999999">
      <c r="A72" s="446" t="s">
        <v>497</v>
      </c>
      <c r="B72" s="444">
        <f>IF(AND($B$5&lt;960,$B$5&lt;10*B$13,$B$5&gt;$B$8/1.5,$B$5&gt;$B$6/3),4.5*$B$68^2,4.5*$B$5^2)</f>
        <v>124999.99999999999</v>
      </c>
      <c r="C72" s="444">
        <f>IF(AND($B$5&lt;1200,$B$5&lt;10*C$13,$B$5&gt;$B$8/1.5,$B$5&gt;$B$6/3),4.5*$C$68^2,4.5*$B$5^2)</f>
        <v>124999.99999999999</v>
      </c>
      <c r="D72" s="444">
        <f>IF(AND($B$5&lt;1200,$B$5&lt;10*D$13,$B$5&gt;$B$8/1.5,$B$5&gt;$B$6/3),4.5*$D$68^2,4.5*$B$5^2)</f>
        <v>124999.99999999999</v>
      </c>
      <c r="E72" s="190" t="s">
        <v>16</v>
      </c>
      <c r="F72" s="190" t="s">
        <v>497</v>
      </c>
      <c r="G72" s="444">
        <f>IF(AND($G$5&lt;960,$G$5&lt;10*G$13,$G$5&gt;$G$8/1.5,$G$5&gt;$G$6/3),4.5*$G$68^2,4.5*$G$5^2)</f>
        <v>124999.99999999999</v>
      </c>
      <c r="H72" s="444">
        <f>IF(AND($G$5&lt;1200,$G$5&lt;10*H$13,$G$5&gt;$G$8/1.5,$G$5&gt;$G$6/3),4.5*$H$68^2,4.5*$G$5^2)</f>
        <v>124999.99999999999</v>
      </c>
      <c r="I72" s="444"/>
      <c r="J72" s="445" t="s">
        <v>16</v>
      </c>
    </row>
    <row r="73" spans="1:20" ht="15">
      <c r="A73" s="446" t="s">
        <v>498</v>
      </c>
      <c r="B73" s="1145">
        <f>MIN(3*B5,B6)*MIN(1.5*B5,B8)</f>
        <v>72500</v>
      </c>
      <c r="C73" s="1145"/>
      <c r="D73" s="1145"/>
      <c r="E73" s="190" t="s">
        <v>16</v>
      </c>
      <c r="F73" s="190" t="s">
        <v>498</v>
      </c>
      <c r="G73" s="1145">
        <f>MIN(3*G5,G6)*MIN(1.5*G5,G8)</f>
        <v>72500</v>
      </c>
      <c r="H73" s="1145"/>
      <c r="I73" s="1145"/>
      <c r="J73" s="445" t="s">
        <v>16</v>
      </c>
    </row>
    <row r="74" spans="1:20" ht="15">
      <c r="A74" s="446" t="s">
        <v>499</v>
      </c>
      <c r="B74" s="1145">
        <v>1</v>
      </c>
      <c r="C74" s="1145"/>
      <c r="D74" s="1145"/>
      <c r="E74" s="190" t="s">
        <v>7</v>
      </c>
      <c r="F74" s="190" t="s">
        <v>499</v>
      </c>
      <c r="G74" s="1145">
        <v>1</v>
      </c>
      <c r="H74" s="1145"/>
      <c r="I74" s="1145"/>
      <c r="J74" s="445" t="s">
        <v>7</v>
      </c>
    </row>
    <row r="75" spans="1:20" ht="15">
      <c r="A75" s="446" t="s">
        <v>500</v>
      </c>
      <c r="B75" s="442">
        <f>IF(AND($B$5&lt;960,$B$5&lt;10*B$13,$B$5&gt;$B$8/1.5,$B$5&gt;$B$6/3),MAX(1,(1.5*B68/B8)^(1/2)),MAX(1,(1.5*B5/B8)^(1/2)))</f>
        <v>1.3130643285972254</v>
      </c>
      <c r="C75" s="442">
        <f>IF(AND($B$5&lt;1200,$B$5&lt;10*C$13,$B$5&gt;$B$8/1.5,$B$5&gt;$B$6/3),MAX(1,(1.5*C68/B8)^(1/2)),MAX(1,(1.5*B5/B8)^(1/2)))</f>
        <v>1.3130643285972254</v>
      </c>
      <c r="D75" s="442">
        <f>IF(AND($B$5&lt;1200,$B$5&lt;10*D$13,$B$5&gt;$B$8/1.5,$B$5&gt;$B$6/3),MAX(1,(1.5*D68/B8)^(1/2)),MAX(1,(1.5*B5/B8)^(1/2)))</f>
        <v>1.3130643285972254</v>
      </c>
      <c r="E75" s="190" t="s">
        <v>7</v>
      </c>
      <c r="F75" s="190" t="s">
        <v>500</v>
      </c>
      <c r="G75" s="442">
        <f>IF(AND($G$5&lt;960,$G$5&lt;10*G$13,$G$5&gt;$G$8/1.5,$G$5&gt;$G$6/3),MAX(1,(1.5*G68/G8)^(1/2)),MAX(1,(1.5*G5/G8)^(1/2)))</f>
        <v>1.3130643285972254</v>
      </c>
      <c r="H75" s="442">
        <f>IF(AND($G$5&lt;1200,$G$5&lt;10*H$13,$G$5&gt;$G$8/1.5,$G$5&gt;$G$6/3),MAX(1,(1.5*H68/G8)^(1/2)),MAX(1,(1.5*G5/G8)^(1/2)))</f>
        <v>1.3130643285972254</v>
      </c>
      <c r="I75" s="442"/>
      <c r="J75" s="445" t="s">
        <v>7</v>
      </c>
    </row>
    <row r="76" spans="1:20" ht="15">
      <c r="A76" s="446" t="s">
        <v>501</v>
      </c>
      <c r="B76" s="1145">
        <v>1</v>
      </c>
      <c r="C76" s="1145"/>
      <c r="D76" s="1145"/>
      <c r="E76" s="190" t="s">
        <v>7</v>
      </c>
      <c r="F76" s="190" t="s">
        <v>501</v>
      </c>
      <c r="G76" s="1145">
        <v>1</v>
      </c>
      <c r="H76" s="1145"/>
      <c r="I76" s="1145"/>
      <c r="J76" s="445" t="s">
        <v>7</v>
      </c>
      <c r="L76" s="189"/>
    </row>
    <row r="77" spans="1:20" ht="15">
      <c r="A77" s="446" t="s">
        <v>502</v>
      </c>
      <c r="B77" s="1145">
        <v>1</v>
      </c>
      <c r="C77" s="1145"/>
      <c r="D77" s="1145"/>
      <c r="E77" s="190" t="s">
        <v>7</v>
      </c>
      <c r="F77" s="190" t="s">
        <v>502</v>
      </c>
      <c r="G77" s="1145">
        <v>1</v>
      </c>
      <c r="H77" s="1145"/>
      <c r="I77" s="1145"/>
      <c r="J77" s="445" t="s">
        <v>7</v>
      </c>
    </row>
    <row r="78" spans="1:20" ht="15">
      <c r="A78" s="446" t="s">
        <v>503</v>
      </c>
      <c r="B78" s="1152">
        <v>1</v>
      </c>
      <c r="C78" s="1152"/>
      <c r="D78" s="1152"/>
      <c r="E78" s="190" t="s">
        <v>7</v>
      </c>
      <c r="F78" s="190" t="s">
        <v>503</v>
      </c>
      <c r="G78" s="1152">
        <v>1</v>
      </c>
      <c r="H78" s="1152"/>
      <c r="I78" s="1152"/>
      <c r="J78" s="445" t="s">
        <v>7</v>
      </c>
      <c r="K78" s="50"/>
    </row>
    <row r="79" spans="1:20" ht="15">
      <c r="A79" s="446" t="s">
        <v>504</v>
      </c>
      <c r="B79" s="442">
        <f>B71*$B$73/$B$72*$B$74*$B$75*$B$76*$B$77*$B$78</f>
        <v>24.12762582313529</v>
      </c>
      <c r="C79" s="442">
        <f>C71*$B$73/$C$72*$B$74*$C$75*$B$76*$B$77*$B$78</f>
        <v>24.798806098215977</v>
      </c>
      <c r="D79" s="442">
        <f>D71*$B$73/$D$72*$B$74*$D$75*$B$76*$B$77*$B$78</f>
        <v>25.061183284901407</v>
      </c>
      <c r="E79" s="190" t="s">
        <v>2</v>
      </c>
      <c r="F79" s="190" t="s">
        <v>504</v>
      </c>
      <c r="G79" s="442">
        <f>G71*$G$73/$G$72*$G$74*$G$75*$G$76*$G$77*$G$78</f>
        <v>24.12762582313529</v>
      </c>
      <c r="H79" s="442">
        <f>H71*$G$73/$H$72*$G$74*$H$75*$G$76*$G$77*$G$78</f>
        <v>24.798806098215977</v>
      </c>
      <c r="I79" s="442">
        <f>I71*$G$73/$H$72*$G$74*$H$75*$G$76*$G$77*$G$78</f>
        <v>1.051134997468085</v>
      </c>
      <c r="J79" s="445" t="s">
        <v>2</v>
      </c>
    </row>
    <row r="80" spans="1:20" ht="15">
      <c r="A80" s="446" t="s">
        <v>505</v>
      </c>
      <c r="B80" s="1152">
        <f>B66</f>
        <v>1.2</v>
      </c>
      <c r="C80" s="1152"/>
      <c r="D80" s="1152"/>
      <c r="E80" s="190" t="s">
        <v>7</v>
      </c>
      <c r="F80" s="190" t="s">
        <v>505</v>
      </c>
      <c r="G80" s="1152">
        <f>G66</f>
        <v>1.2</v>
      </c>
      <c r="H80" s="1152"/>
      <c r="I80" s="1152"/>
      <c r="J80" s="445" t="s">
        <v>7</v>
      </c>
    </row>
    <row r="81" spans="1:20" ht="15">
      <c r="A81" s="441" t="s">
        <v>506</v>
      </c>
      <c r="B81" s="448">
        <f>IF(AND($B$5&gt;960,$B$5&gt;10*B13),"entfällt",B79/$B$80)</f>
        <v>20.106354852612743</v>
      </c>
      <c r="C81" s="448">
        <f>IF(AND($B$5&gt;1200,$B$5&gt;10*C13),"entfällt",C79/$B$80)</f>
        <v>20.665671748513315</v>
      </c>
      <c r="D81" s="448">
        <f>IF($B$5&gt;10*D13,"c &gt; 10*hef",D79/$B$80)</f>
        <v>20.884319404084508</v>
      </c>
      <c r="E81" s="443" t="s">
        <v>2</v>
      </c>
      <c r="F81" s="443" t="s">
        <v>506</v>
      </c>
      <c r="G81" s="448">
        <f>IF(AND($G$5&gt;960,$G$5&gt;10*G13),"entfällt",G79/$G$80)</f>
        <v>20.106354852612743</v>
      </c>
      <c r="H81" s="448">
        <f>IF(AND($G$5&gt;1200,$G$5&gt;10*H13),"entfällt",H79/$G$80)</f>
        <v>20.665671748513315</v>
      </c>
      <c r="I81" s="448">
        <f>IF($G$5&gt;10*I13,"c &gt; 10*hef",I79/$G$80)</f>
        <v>0.87594583122340419</v>
      </c>
      <c r="J81" s="449" t="s">
        <v>2</v>
      </c>
    </row>
    <row r="82" spans="1:20">
      <c r="A82" s="124"/>
      <c r="B82" s="53"/>
      <c r="C82" s="53"/>
      <c r="D82" s="53"/>
      <c r="E82" s="53"/>
      <c r="F82" s="53"/>
      <c r="G82" s="53"/>
      <c r="H82" s="53"/>
      <c r="I82" s="53"/>
      <c r="J82" s="125"/>
    </row>
    <row r="83" spans="1:20" ht="15">
      <c r="A83" s="204" t="s">
        <v>107</v>
      </c>
      <c r="B83" s="157">
        <f>Kappe!B67</f>
        <v>62.802955009256834</v>
      </c>
      <c r="C83" s="157">
        <f>Kappe!C67</f>
        <v>73.956452845525391</v>
      </c>
      <c r="D83" s="157">
        <f>Kappe!D67</f>
        <v>68.404427942811097</v>
      </c>
      <c r="E83" s="158" t="s">
        <v>2</v>
      </c>
      <c r="F83" s="205" t="s">
        <v>199</v>
      </c>
      <c r="G83" s="157">
        <f>Kappe!G67</f>
        <v>62.802955009256834</v>
      </c>
      <c r="H83" s="157">
        <f>Kappe!H67</f>
        <v>73.956452845525391</v>
      </c>
      <c r="I83" s="157">
        <f>Kappe!I67</f>
        <v>68.404427942811097</v>
      </c>
      <c r="J83" s="127" t="s">
        <v>2</v>
      </c>
      <c r="K83" s="204" t="s">
        <v>107</v>
      </c>
      <c r="L83" s="157">
        <f>Kappe!L67</f>
        <v>62.802955009256834</v>
      </c>
      <c r="M83" s="157">
        <f>Kappe!M67</f>
        <v>73.956452845525391</v>
      </c>
      <c r="N83" s="157">
        <f>Kappe!N67</f>
        <v>68.404427942811097</v>
      </c>
      <c r="O83" s="205"/>
      <c r="P83" s="205" t="s">
        <v>199</v>
      </c>
      <c r="Q83" s="157">
        <f>Kappe!Q67</f>
        <v>62.802955009256834</v>
      </c>
      <c r="R83" s="157">
        <f>Kappe!R67</f>
        <v>73.956452845525391</v>
      </c>
      <c r="S83" s="157">
        <f>Kappe!S67</f>
        <v>68.404427942811097</v>
      </c>
    </row>
    <row r="84" spans="1:20" s="53" customFormat="1" ht="15">
      <c r="A84" s="335" t="s">
        <v>356</v>
      </c>
      <c r="B84" s="1136">
        <f>IF(Eingabe!C33="Kappenverankerung HCC",Eingabe!O23,Eingabe!Q23)</f>
        <v>27.194109375</v>
      </c>
      <c r="C84" s="1136"/>
      <c r="D84" s="1136"/>
      <c r="E84" s="336"/>
      <c r="F84" s="337" t="s">
        <v>356</v>
      </c>
      <c r="G84" s="1136">
        <f>IF(Eingabe!C33="Kappenverankerung HCC",Eingabe!P23,Eingabe!R23)</f>
        <v>54.38821875</v>
      </c>
      <c r="H84" s="1136"/>
      <c r="I84" s="1136"/>
      <c r="J84" s="206"/>
      <c r="K84" s="318" t="s">
        <v>357</v>
      </c>
      <c r="L84" s="1118">
        <f>IF(Eingabe!C33="Kappenverankerung HCC",Eingabe!O29,Eingabe!Q29)</f>
        <v>29.921271248249965</v>
      </c>
      <c r="M84" s="1118"/>
      <c r="N84" s="1118"/>
      <c r="O84" s="318"/>
      <c r="P84" s="337" t="s">
        <v>356</v>
      </c>
      <c r="Q84" s="1136">
        <f>IF(Eingabe!C33="Kappenverankerung HCC",Eingabe!P29,Eingabe!R29)</f>
        <v>59.842542496499931</v>
      </c>
      <c r="R84" s="1136"/>
      <c r="S84" s="1136"/>
    </row>
    <row r="85" spans="1:20" s="53" customFormat="1">
      <c r="A85" s="338" t="s">
        <v>229</v>
      </c>
      <c r="B85" s="323">
        <f>$B$84/B83</f>
        <v>0.43300684451856969</v>
      </c>
      <c r="C85" s="323">
        <f>$B$84/C83</f>
        <v>0.36770434936625457</v>
      </c>
      <c r="D85" s="323">
        <f>$B$84/D83</f>
        <v>0.39754896273287144</v>
      </c>
      <c r="E85" s="299"/>
      <c r="F85" s="339" t="s">
        <v>229</v>
      </c>
      <c r="G85" s="323">
        <f>$G$84/G83</f>
        <v>0.86601368903713938</v>
      </c>
      <c r="H85" s="323">
        <f>$G$84/H83</f>
        <v>0.73540869873250914</v>
      </c>
      <c r="I85" s="323">
        <f>$G$84/I83</f>
        <v>0.79509792546574287</v>
      </c>
      <c r="J85" s="127"/>
      <c r="K85" s="324" t="s">
        <v>254</v>
      </c>
      <c r="L85" s="322">
        <f>$L$84/L83</f>
        <v>0.47643094570692929</v>
      </c>
      <c r="M85" s="322">
        <f>$L$84/M83</f>
        <v>0.40457958835244895</v>
      </c>
      <c r="N85" s="322">
        <f>$L$84/N83</f>
        <v>0.43741716944501569</v>
      </c>
      <c r="P85" s="318" t="s">
        <v>254</v>
      </c>
      <c r="Q85" s="322">
        <f>$Q$84/Q83</f>
        <v>0.95286189141385857</v>
      </c>
      <c r="R85" s="322">
        <f>$Q$84/R83</f>
        <v>0.8091591767048979</v>
      </c>
      <c r="S85" s="322">
        <f>$Q$84/S83</f>
        <v>0.87483433889003137</v>
      </c>
    </row>
    <row r="86" spans="1:20" ht="15.55">
      <c r="A86" s="147"/>
      <c r="B86" s="133"/>
      <c r="C86" s="133"/>
      <c r="D86" s="133"/>
      <c r="E86" s="133"/>
      <c r="F86" s="133"/>
      <c r="G86" s="133"/>
      <c r="H86" s="133"/>
      <c r="I86" s="133"/>
      <c r="J86" s="133"/>
      <c r="T86" s="207"/>
    </row>
    <row r="87" spans="1:20" ht="15.55">
      <c r="A87" s="1139" t="s">
        <v>247</v>
      </c>
      <c r="B87" s="1140"/>
      <c r="C87" s="1140"/>
      <c r="D87" s="1140"/>
      <c r="E87" s="1140"/>
      <c r="F87" s="1140"/>
      <c r="G87" s="1140"/>
      <c r="H87" s="1140"/>
      <c r="I87" s="1140"/>
      <c r="J87" s="1141"/>
      <c r="K87" s="1142" t="s">
        <v>248</v>
      </c>
      <c r="L87" s="1143"/>
      <c r="M87" s="1143"/>
      <c r="N87" s="1143"/>
      <c r="O87" s="1143"/>
      <c r="P87" s="1143"/>
      <c r="Q87" s="1143"/>
      <c r="R87" s="1143"/>
      <c r="S87" s="1144"/>
    </row>
    <row r="88" spans="1:20" s="53" customFormat="1" ht="25.35">
      <c r="A88" s="340" t="s">
        <v>20</v>
      </c>
      <c r="B88" s="341" t="str">
        <f>B12</f>
        <v>Kappenanker HCC M16</v>
      </c>
      <c r="C88" s="341" t="str">
        <f>C12</f>
        <v>Kappenanker HCC M20</v>
      </c>
      <c r="D88" s="341" t="str">
        <f>D12</f>
        <v>Kappenanker HCC M24</v>
      </c>
      <c r="F88" s="342" t="s">
        <v>20</v>
      </c>
      <c r="G88" s="341" t="str">
        <f>G12</f>
        <v>Kappenanker HCC M16</v>
      </c>
      <c r="H88" s="341" t="str">
        <f>H12</f>
        <v>Kappenanker HCC M20</v>
      </c>
      <c r="I88" s="341" t="str">
        <f>I12</f>
        <v>Kappenanker HCC M24</v>
      </c>
      <c r="J88" s="125"/>
      <c r="K88" s="340" t="s">
        <v>20</v>
      </c>
      <c r="L88" s="341" t="str">
        <f>L51</f>
        <v>Kappenanker HCC M16</v>
      </c>
      <c r="M88" s="341" t="str">
        <f>M51</f>
        <v>Kappenanker HCC M20</v>
      </c>
      <c r="N88" s="341" t="str">
        <f>N51</f>
        <v>Kappenanker HCC M24</v>
      </c>
      <c r="P88" s="342" t="s">
        <v>20</v>
      </c>
      <c r="Q88" s="341" t="str">
        <f>Q51</f>
        <v>Kappenanker HCC M16</v>
      </c>
      <c r="R88" s="341" t="str">
        <f>R51</f>
        <v>Kappenanker HCC M20</v>
      </c>
      <c r="S88" s="341" t="str">
        <f>S51</f>
        <v>Kappenanker HCC M24</v>
      </c>
    </row>
    <row r="89" spans="1:20">
      <c r="A89" s="124" t="s">
        <v>47</v>
      </c>
      <c r="B89" s="304">
        <f>B54</f>
        <v>0.13623398031741749</v>
      </c>
      <c r="C89" s="304">
        <f>C54</f>
        <v>0.11568830314884972</v>
      </c>
      <c r="D89" s="304">
        <f>D54</f>
        <v>0.12507810961828131</v>
      </c>
      <c r="E89" s="53"/>
      <c r="F89" s="53" t="s">
        <v>47</v>
      </c>
      <c r="G89" s="304">
        <f>G54</f>
        <v>0.10646857285310778</v>
      </c>
      <c r="H89" s="304">
        <f>H54</f>
        <v>9.0411867166748094E-2</v>
      </c>
      <c r="I89" s="304">
        <f>I54</f>
        <v>9.7750119281513961E-2</v>
      </c>
      <c r="J89" s="125"/>
      <c r="K89" s="124" t="s">
        <v>47</v>
      </c>
      <c r="L89" s="304">
        <f>L54</f>
        <v>0.14985737834915921</v>
      </c>
      <c r="M89" s="304">
        <f>M54</f>
        <v>0.12725713346373468</v>
      </c>
      <c r="N89" s="304">
        <f>N54</f>
        <v>0.13758592058010941</v>
      </c>
      <c r="P89" s="53" t="s">
        <v>47</v>
      </c>
      <c r="Q89" s="304">
        <f>Q54</f>
        <v>0.11711543013841855</v>
      </c>
      <c r="R89" s="304">
        <f>R54</f>
        <v>9.9453053883422904E-2</v>
      </c>
      <c r="S89" s="304">
        <f>S54</f>
        <v>0.10752513120966535</v>
      </c>
    </row>
    <row r="90" spans="1:20">
      <c r="A90" s="124" t="s">
        <v>48</v>
      </c>
      <c r="B90" s="304">
        <f>MAX(B85,B62)</f>
        <v>2.3562223367724724</v>
      </c>
      <c r="C90" s="304">
        <f>MAX(C85,C62)</f>
        <v>1.3720046809265567</v>
      </c>
      <c r="D90" s="304">
        <f>MAX(D85,D62)</f>
        <v>0.8924738441650697</v>
      </c>
      <c r="E90" s="53"/>
      <c r="F90" s="53" t="s">
        <v>48</v>
      </c>
      <c r="G90" s="304">
        <f>MAX(G85,G62)</f>
        <v>2.3165269804561452</v>
      </c>
      <c r="H90" s="304">
        <f>MAX(H85,H62)</f>
        <v>1.3575366110554514</v>
      </c>
      <c r="I90" s="304">
        <f>MAX(I85,I62)</f>
        <v>0.88599442346694723</v>
      </c>
      <c r="J90" s="125"/>
      <c r="K90" s="124" t="s">
        <v>48</v>
      </c>
      <c r="L90" s="304">
        <f>MAX(L85,L62)</f>
        <v>2.6130096866516048</v>
      </c>
      <c r="M90" s="304">
        <f>MAX(M85,M62)</f>
        <v>1.5169959519495004</v>
      </c>
      <c r="N90" s="304">
        <f>MAX(N85,N62)</f>
        <v>0.98527348951092064</v>
      </c>
      <c r="P90" s="53" t="s">
        <v>48</v>
      </c>
      <c r="Q90" s="304">
        <f>MAX(Q85,Q62)</f>
        <v>2.5642925067798235</v>
      </c>
      <c r="R90" s="304">
        <f>MAX(R85,R62)</f>
        <v>1.4993325911237134</v>
      </c>
      <c r="S90" s="304">
        <f>MAX(S85,S62)</f>
        <v>0.97738453525303992</v>
      </c>
    </row>
    <row r="91" spans="1:20">
      <c r="A91" s="124" t="s">
        <v>21</v>
      </c>
      <c r="B91" s="306">
        <v>1.5</v>
      </c>
      <c r="C91" s="306">
        <v>1.5</v>
      </c>
      <c r="D91" s="306">
        <v>1.5</v>
      </c>
      <c r="E91" s="53"/>
      <c r="F91" s="53" t="s">
        <v>21</v>
      </c>
      <c r="G91" s="306">
        <v>1.5</v>
      </c>
      <c r="H91" s="306">
        <v>1.5</v>
      </c>
      <c r="I91" s="306">
        <v>1.5</v>
      </c>
      <c r="J91" s="125"/>
      <c r="K91" s="124" t="s">
        <v>21</v>
      </c>
      <c r="L91" s="306">
        <v>1.5</v>
      </c>
      <c r="M91" s="306">
        <v>1.5</v>
      </c>
      <c r="N91" s="306">
        <v>1.5</v>
      </c>
      <c r="P91" s="53" t="s">
        <v>21</v>
      </c>
      <c r="Q91" s="306">
        <v>1.5</v>
      </c>
      <c r="R91" s="306">
        <v>1.5</v>
      </c>
      <c r="S91" s="306">
        <v>1.5</v>
      </c>
    </row>
    <row r="92" spans="1:20" ht="13.85">
      <c r="A92" s="325" t="s">
        <v>28</v>
      </c>
      <c r="B92" s="308">
        <f>IF(OR(B89&gt;1,B90&gt;1),MAX(B89,B90),IF(OR(B89=0,B90=0),B89+B90,MIN(B89^B91+B90^B91,(B89+B90)/1.2)))</f>
        <v>2.3562223367724724</v>
      </c>
      <c r="C92" s="308">
        <f>IF(OR(C89&gt;1,C90&gt;1),MAX(C89,C90),IF(OR(C89=0,C90=0),C89+C90,MIN((C89+C90)/1.2,C89^C91+C90^C91)))</f>
        <v>1.3720046809265567</v>
      </c>
      <c r="D92" s="308">
        <f>IF(OR(D89&gt;1,D90&gt;1),MAX(D89,D90),IF(OR(D89=0,D90=0),D89+D90,MIN(D89^D91+D90^D91,(D89+D90)/1.2)))</f>
        <v>0.84795996148612596</v>
      </c>
      <c r="E92" s="53"/>
      <c r="F92" s="59" t="s">
        <v>28</v>
      </c>
      <c r="G92" s="308">
        <f>IF(OR(G89&gt;1,G90&gt;1),MAX(G89,G90),IF(OR(G89=0,G90=0),G89+G90,MIN(G89^G91+G90^G91,(G89+G90)/1.2)))</f>
        <v>2.3165269804561452</v>
      </c>
      <c r="H92" s="308">
        <f>IF(OR(H89&gt;1,H90&gt;1),MAX(H89,H90),IF(OR(H89=0,H90=0),H89+H90,MIN(H89^H91+H90^H91,(H89+H90)/1.2)))</f>
        <v>1.3575366110554514</v>
      </c>
      <c r="I92" s="308">
        <f>IF(OR(I89&gt;1,I90&gt;1),MAX(I89,I90),IF(OR(I89=0,I90=0),I89+I90,MIN(I89^I91+I90^I91,(I89+I90)/1.2)))</f>
        <v>0.81978711895705103</v>
      </c>
      <c r="J92" s="125"/>
      <c r="K92" s="325" t="s">
        <v>28</v>
      </c>
      <c r="L92" s="308">
        <f>IF(OR(L89&gt;1,L90&gt;1),MAX(L89,L90),IF(OR(L89=0,L90=0),L89+L90,MIN(L89^L91+L90^L91,(L89+L90)/1.2)))</f>
        <v>2.6130096866516048</v>
      </c>
      <c r="M92" s="308">
        <f>IF(OR(M89&gt;1,M90&gt;1),MAX(M89,M90),IF(OR(M89=0,M90=0),M89+M90,MIN(M89^M91+M90^M91,(M89+M90)/1.2)))</f>
        <v>1.5169959519495004</v>
      </c>
      <c r="N92" s="308">
        <f>IF(OR(N89&gt;1,N90&gt;1),MAX(N89,N90),IF(OR(N89=0,N90=0),N89+N90,MIN(N89^N91+N90^N91,(N89+N90)/1.2)))</f>
        <v>0.93571617507585847</v>
      </c>
      <c r="P92" s="59" t="s">
        <v>28</v>
      </c>
      <c r="Q92" s="308">
        <f>IF(OR(Q89&gt;1,Q90&gt;1),MAX(Q89,Q90),IF(OR(Q89=0,Q90=0),Q89+Q90,MIN(Q89^Q91+Q90^Q91,(Q89+Q90)/1.2)))</f>
        <v>2.5642925067798235</v>
      </c>
      <c r="R92" s="308">
        <f>IF(OR(R89&gt;1,R90&gt;1),MAX(R89,R90),IF(OR(R89=0,R90=0),R89+R90,MIN(R89^R91+R90^R91,(R89+R90)/1.2)))</f>
        <v>1.4993325911237134</v>
      </c>
      <c r="S92" s="308">
        <f>IF(OR(S89&gt;1,S90&gt;1),MAX(S89,S90),IF(OR(S89=0,S90=0),S89+S90,MIN(S89^S91+S90^S91,(S89+S90)/1.2)))</f>
        <v>0.90409138871892114</v>
      </c>
    </row>
    <row r="93" spans="1:20">
      <c r="A93" s="124" t="s">
        <v>29</v>
      </c>
      <c r="B93" s="296" t="str">
        <f>IF(MAX(B92,G92)&gt;1,"Unzulässig !","")</f>
        <v>Unzulässig !</v>
      </c>
      <c r="C93" s="296" t="str">
        <f>IF(MAX(C92,H92)&gt;1,"Unzulässig !","")</f>
        <v>Unzulässig !</v>
      </c>
      <c r="D93" s="296" t="str">
        <f>IF(MAX(D92,I92)&gt;1,"Unzulässig !","")</f>
        <v/>
      </c>
      <c r="E93" s="53"/>
      <c r="F93" s="53" t="s">
        <v>29</v>
      </c>
      <c r="G93" s="296" t="str">
        <f>IF(MAX(G92,B92)&gt;1,"Unzulässig !","")</f>
        <v>Unzulässig !</v>
      </c>
      <c r="H93" s="296" t="str">
        <f>IF(MAX(H92,C92)&gt;1,"Unzulässig !","")</f>
        <v>Unzulässig !</v>
      </c>
      <c r="I93" s="296" t="str">
        <f>IF(MAX(I92,D92)&gt;1,"Unzulässig !","")</f>
        <v/>
      </c>
      <c r="J93" s="125"/>
      <c r="K93" s="124" t="s">
        <v>29</v>
      </c>
      <c r="L93" s="296" t="str">
        <f>IF(MAX(L92,Q92)&gt;1,"Unzulässig !","")</f>
        <v>Unzulässig !</v>
      </c>
      <c r="M93" s="296" t="str">
        <f>IF(MAX(M92,R92)&gt;1,"Unzulässig !","")</f>
        <v>Unzulässig !</v>
      </c>
      <c r="N93" s="296" t="str">
        <f>IF(MAX(N92,S92)&gt;1,"Unzulässig !","")</f>
        <v/>
      </c>
      <c r="P93" s="53" t="s">
        <v>29</v>
      </c>
      <c r="Q93" s="296" t="str">
        <f>IF(MAX(Q92,L92)&gt;1,"Unzulässig !","")</f>
        <v>Unzulässig !</v>
      </c>
      <c r="R93" s="296" t="str">
        <f>IF(MAX(R92,M92)&gt;1,"Unzulässig !","")</f>
        <v>Unzulässig !</v>
      </c>
      <c r="S93" s="296" t="str">
        <f>IF(MAX(S92,N92)&gt;1,"Unzulässig !","")</f>
        <v/>
      </c>
    </row>
    <row r="94" spans="1:20">
      <c r="A94" s="150"/>
      <c r="B94" s="146"/>
      <c r="C94" s="146"/>
      <c r="D94" s="146"/>
      <c r="E94" s="146"/>
      <c r="F94" s="146"/>
      <c r="G94" s="146"/>
      <c r="H94" s="146"/>
      <c r="I94" s="146"/>
      <c r="J94" s="125"/>
      <c r="K94" s="208"/>
      <c r="L94" s="209"/>
      <c r="M94" s="209"/>
      <c r="N94" s="209"/>
      <c r="O94" s="189"/>
      <c r="P94" s="209"/>
      <c r="Q94" s="209"/>
      <c r="R94" s="209"/>
      <c r="S94" s="125"/>
    </row>
    <row r="95" spans="1:20" ht="25.35">
      <c r="A95" s="126" t="s">
        <v>52</v>
      </c>
      <c r="B95" s="343" t="str">
        <f>LEFT(Eingabe!C4,21)</f>
        <v>Kappenanker HCC M24</v>
      </c>
      <c r="C95" s="146"/>
      <c r="D95" s="146"/>
      <c r="E95" s="146"/>
      <c r="F95" s="41" t="s">
        <v>52</v>
      </c>
      <c r="G95" s="343" t="str">
        <f>LEFT(Eingabe!C4,21)</f>
        <v>Kappenanker HCC M24</v>
      </c>
      <c r="H95" s="146"/>
      <c r="I95" s="146"/>
      <c r="J95" s="125"/>
      <c r="K95" s="126" t="s">
        <v>52</v>
      </c>
      <c r="L95" s="343" t="str">
        <f>LEFT(Eingabe!C4,21)</f>
        <v>Kappenanker HCC M24</v>
      </c>
      <c r="M95" s="209"/>
      <c r="N95" s="209"/>
      <c r="P95" s="41" t="s">
        <v>52</v>
      </c>
      <c r="Q95" s="343" t="str">
        <f>LEFT(Eingabe!C4,21)</f>
        <v>Kappenanker HCC M24</v>
      </c>
      <c r="R95" s="209"/>
      <c r="S95" s="125"/>
    </row>
    <row r="96" spans="1:20">
      <c r="A96" s="126" t="s">
        <v>255</v>
      </c>
      <c r="B96" s="314">
        <f>INDEX(B88:D90,2,MATCH($B$95,B88:D88))</f>
        <v>0.12507810961828131</v>
      </c>
      <c r="C96" s="53"/>
      <c r="D96" s="53"/>
      <c r="E96" s="53"/>
      <c r="F96" s="41" t="s">
        <v>257</v>
      </c>
      <c r="G96" s="314">
        <f>INDEX(G88:I90,2,MATCH($G$95,G88:I88))</f>
        <v>9.7750119281513961E-2</v>
      </c>
      <c r="H96" s="53"/>
      <c r="I96" s="53"/>
      <c r="J96" s="125"/>
      <c r="K96" s="126" t="s">
        <v>259</v>
      </c>
      <c r="L96" s="314">
        <f>INDEX(L88:N90,2,MATCH($B$95,L88:N88))</f>
        <v>0.13758592058010941</v>
      </c>
      <c r="M96" s="209"/>
      <c r="N96" s="209"/>
      <c r="P96" s="41" t="s">
        <v>261</v>
      </c>
      <c r="Q96" s="314">
        <f>INDEX(Q88:S90,2,MATCH($G$95,Q88:S88))</f>
        <v>0.10752513120966535</v>
      </c>
      <c r="R96" s="209"/>
      <c r="S96" s="125"/>
    </row>
    <row r="97" spans="1:19">
      <c r="A97" s="126" t="s">
        <v>256</v>
      </c>
      <c r="B97" s="314">
        <f>INDEX(B88:D90,3,MATCH($B$95,B88:D88))</f>
        <v>0.8924738441650697</v>
      </c>
      <c r="C97" s="53"/>
      <c r="D97" s="53"/>
      <c r="E97" s="53"/>
      <c r="F97" s="41" t="s">
        <v>258</v>
      </c>
      <c r="G97" s="314">
        <f>INDEX(G88:I90,3,MATCH($G$95,G88:I88))</f>
        <v>0.88599442346694723</v>
      </c>
      <c r="H97" s="53"/>
      <c r="I97" s="53"/>
      <c r="J97" s="125"/>
      <c r="K97" s="126" t="s">
        <v>260</v>
      </c>
      <c r="L97" s="314">
        <f>INDEX(L88:N90,3,MATCH($B$95,L88:N88))</f>
        <v>0.98527348951092064</v>
      </c>
      <c r="M97" s="209"/>
      <c r="N97" s="209"/>
      <c r="P97" s="41" t="s">
        <v>262</v>
      </c>
      <c r="Q97" s="314">
        <f>INDEX(Q88:S90,3,MATCH($G$95,Q88:S88))</f>
        <v>0.97738453525303992</v>
      </c>
      <c r="R97" s="209"/>
      <c r="S97" s="125"/>
    </row>
    <row r="98" spans="1:19">
      <c r="A98" s="131"/>
      <c r="B98" s="120"/>
      <c r="C98" s="120"/>
      <c r="D98" s="120"/>
      <c r="E98" s="120"/>
      <c r="F98" s="120"/>
      <c r="G98" s="120"/>
      <c r="H98" s="120"/>
      <c r="I98" s="120"/>
      <c r="J98" s="128"/>
      <c r="K98" s="131"/>
      <c r="L98" s="120"/>
      <c r="M98" s="120"/>
      <c r="N98" s="120"/>
      <c r="O98" s="120"/>
      <c r="P98" s="120"/>
      <c r="Q98" s="120"/>
      <c r="R98" s="120"/>
      <c r="S98" s="128"/>
    </row>
    <row r="99" spans="1:19">
      <c r="A99" s="53"/>
      <c r="B99" s="53"/>
      <c r="C99" s="53"/>
      <c r="D99" s="53"/>
      <c r="E99" s="53"/>
      <c r="F99" s="53"/>
      <c r="G99" s="53"/>
      <c r="H99" s="53"/>
      <c r="I99" s="53"/>
      <c r="J99" s="53"/>
    </row>
    <row r="100" spans="1:19">
      <c r="A100" s="53"/>
      <c r="B100" s="53"/>
      <c r="C100" s="53"/>
      <c r="D100" s="53"/>
      <c r="E100" s="53"/>
    </row>
  </sheetData>
  <sheetProtection selectLockedCells="1" selectUnlockedCells="1"/>
  <customSheetViews>
    <customSheetView guid="{39DD0EDE-63E7-470F-AA9E-0FA02F254C3F}" showGridLines="0" state="hidden" topLeftCell="A7">
      <selection activeCell="K26" sqref="K26"/>
      <pageMargins left="0.78740157499999996" right="0.78740157499999996" top="0.984251969" bottom="0.984251969" header="0.4921259845" footer="0.4921259845"/>
      <pageSetup paperSize="9" scale="75" orientation="landscape" r:id="rId1"/>
      <headerFooter alignWithMargins="0"/>
    </customSheetView>
  </customSheetViews>
  <mergeCells count="69">
    <mergeCell ref="Q64:S64"/>
    <mergeCell ref="Q66:S66"/>
    <mergeCell ref="B76:D76"/>
    <mergeCell ref="G76:I76"/>
    <mergeCell ref="B73:D73"/>
    <mergeCell ref="G74:I74"/>
    <mergeCell ref="B84:D84"/>
    <mergeCell ref="G84:I84"/>
    <mergeCell ref="G80:I80"/>
    <mergeCell ref="B77:D77"/>
    <mergeCell ref="B78:D78"/>
    <mergeCell ref="B80:D80"/>
    <mergeCell ref="G77:I77"/>
    <mergeCell ref="G78:I78"/>
    <mergeCell ref="G61:I61"/>
    <mergeCell ref="G64:I64"/>
    <mergeCell ref="B23:D23"/>
    <mergeCell ref="G23:I23"/>
    <mergeCell ref="B49:D49"/>
    <mergeCell ref="G49:I49"/>
    <mergeCell ref="B35:D35"/>
    <mergeCell ref="G35:I35"/>
    <mergeCell ref="B42:D42"/>
    <mergeCell ref="B40:G40"/>
    <mergeCell ref="G42:I42"/>
    <mergeCell ref="A2:E2"/>
    <mergeCell ref="F2:J2"/>
    <mergeCell ref="F15:J15"/>
    <mergeCell ref="A15:E15"/>
    <mergeCell ref="B18:D18"/>
    <mergeCell ref="G18:I18"/>
    <mergeCell ref="A87:J87"/>
    <mergeCell ref="K87:S87"/>
    <mergeCell ref="B26:D26"/>
    <mergeCell ref="G26:I26"/>
    <mergeCell ref="A56:E56"/>
    <mergeCell ref="F56:J56"/>
    <mergeCell ref="G53:I53"/>
    <mergeCell ref="B53:D53"/>
    <mergeCell ref="B66:D66"/>
    <mergeCell ref="B59:D59"/>
    <mergeCell ref="G59:I59"/>
    <mergeCell ref="G66:I66"/>
    <mergeCell ref="B74:D74"/>
    <mergeCell ref="G73:I73"/>
    <mergeCell ref="B64:D64"/>
    <mergeCell ref="B61:D61"/>
    <mergeCell ref="K15:O15"/>
    <mergeCell ref="P15:T15"/>
    <mergeCell ref="L18:N18"/>
    <mergeCell ref="Q18:S18"/>
    <mergeCell ref="L23:N23"/>
    <mergeCell ref="Q23:S23"/>
    <mergeCell ref="Q84:S84"/>
    <mergeCell ref="L26:N26"/>
    <mergeCell ref="L35:N35"/>
    <mergeCell ref="Q26:S26"/>
    <mergeCell ref="Q35:S35"/>
    <mergeCell ref="L84:N84"/>
    <mergeCell ref="L53:N53"/>
    <mergeCell ref="L61:N61"/>
    <mergeCell ref="K56:O56"/>
    <mergeCell ref="P56:T56"/>
    <mergeCell ref="L59:N59"/>
    <mergeCell ref="Q59:S59"/>
    <mergeCell ref="Q53:S53"/>
    <mergeCell ref="Q61:S61"/>
    <mergeCell ref="L64:N64"/>
    <mergeCell ref="L66:N66"/>
  </mergeCells>
  <phoneticPr fontId="25" type="noConversion"/>
  <pageMargins left="0.39370078740157483" right="0.39370078740157483" top="0.98425196850393704" bottom="0.98425196850393704" header="0.51181102362204722" footer="0.51181102362204722"/>
  <pageSetup paperSize="9" scale="60" orientation="portrait" r:id="rId2"/>
  <headerFooter alignWithMargins="0"/>
  <rowBreaks count="1" manualBreakCount="1">
    <brk id="50" max="16383" man="1"/>
  </rowBreaks>
  <colBreaks count="1" manualBreakCount="1">
    <brk id="10" max="1048575" man="1"/>
  </colBreaks>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dimension ref="A1:F14"/>
  <sheetViews>
    <sheetView showGridLines="0" zoomScaleNormal="100" workbookViewId="0">
      <selection activeCell="B9" sqref="B9"/>
    </sheetView>
  </sheetViews>
  <sheetFormatPr baseColWidth="10" defaultColWidth="11.33203125" defaultRowHeight="12.7" outlineLevelRow="2"/>
  <cols>
    <col min="1" max="1" width="6.6640625" style="1" customWidth="1"/>
    <col min="2" max="2" width="122.109375" style="1" customWidth="1"/>
    <col min="3" max="16384" width="11.33203125" style="1"/>
  </cols>
  <sheetData>
    <row r="1" spans="1:6" s="488" customFormat="1"/>
    <row r="2" spans="1:6" ht="17.850000000000001">
      <c r="A2" s="496" t="s">
        <v>557</v>
      </c>
    </row>
    <row r="3" spans="1:6" ht="15.55">
      <c r="A3" s="1155" t="s">
        <v>401</v>
      </c>
      <c r="B3" s="1155"/>
      <c r="D3" s="1153"/>
      <c r="E3" s="1154"/>
      <c r="F3" s="1154"/>
    </row>
    <row r="5" spans="1:6" ht="15.55">
      <c r="A5" s="366" t="s">
        <v>388</v>
      </c>
      <c r="B5" s="366" t="s">
        <v>389</v>
      </c>
      <c r="C5" s="366" t="s">
        <v>390</v>
      </c>
      <c r="D5" s="366" t="s">
        <v>391</v>
      </c>
      <c r="E5" s="366" t="s">
        <v>392</v>
      </c>
      <c r="F5" s="366" t="s">
        <v>393</v>
      </c>
    </row>
    <row r="6" spans="1:6" outlineLevel="1">
      <c r="A6" s="367"/>
      <c r="B6" s="368" t="s">
        <v>394</v>
      </c>
      <c r="C6" s="368"/>
      <c r="D6" s="368"/>
      <c r="E6" s="368"/>
      <c r="F6" s="369"/>
    </row>
    <row r="7" spans="1:6" outlineLevel="1">
      <c r="A7" s="367" t="s">
        <v>395</v>
      </c>
      <c r="B7" s="370" t="s">
        <v>400</v>
      </c>
      <c r="C7" s="368"/>
      <c r="D7" s="368"/>
      <c r="E7" s="368"/>
      <c r="F7" s="369"/>
    </row>
    <row r="8" spans="1:6" ht="243.25" customHeight="1" outlineLevel="2">
      <c r="A8" s="367"/>
      <c r="B8" s="365" t="s">
        <v>1562</v>
      </c>
      <c r="C8" s="368"/>
      <c r="D8" s="368"/>
      <c r="E8" s="368"/>
      <c r="F8" s="369"/>
    </row>
    <row r="9" spans="1:6" outlineLevel="2">
      <c r="A9" s="371"/>
      <c r="B9" s="372"/>
      <c r="C9" s="373">
        <v>0</v>
      </c>
      <c r="D9" s="374" t="s">
        <v>396</v>
      </c>
      <c r="E9" s="375">
        <v>0</v>
      </c>
      <c r="F9" s="376">
        <f>(E9*C9)</f>
        <v>0</v>
      </c>
    </row>
    <row r="10" spans="1:6" ht="15.55">
      <c r="A10" s="377"/>
      <c r="B10" s="377"/>
      <c r="C10" s="377"/>
      <c r="D10" s="378" t="s">
        <v>397</v>
      </c>
      <c r="E10" s="379"/>
      <c r="F10" s="380">
        <f>SUM(F9:F9)</f>
        <v>0</v>
      </c>
    </row>
    <row r="11" spans="1:6" ht="15.55" outlineLevel="1">
      <c r="A11" s="377"/>
      <c r="B11" s="377"/>
      <c r="C11" s="377"/>
      <c r="D11" s="381" t="s">
        <v>398</v>
      </c>
      <c r="E11" s="382">
        <v>0.19</v>
      </c>
      <c r="F11" s="383">
        <f>(F10*E11)</f>
        <v>0</v>
      </c>
    </row>
    <row r="12" spans="1:6" ht="16.149999999999999" outlineLevel="1" thickBot="1">
      <c r="A12" s="377"/>
      <c r="B12" s="377"/>
      <c r="C12" s="377"/>
      <c r="D12" s="384" t="s">
        <v>399</v>
      </c>
      <c r="E12" s="385"/>
      <c r="F12" s="386">
        <f>(F10+F11)</f>
        <v>0</v>
      </c>
    </row>
    <row r="13" spans="1:6" ht="13.25" thickTop="1"/>
    <row r="14" spans="1:6">
      <c r="B14" s="239"/>
    </row>
  </sheetData>
  <sheetProtection algorithmName="SHA-512" hashValue="ktGby1gCrs7viTrocfaqF0/T9uNp3GccFaNaA8LEwIm5nGGl1Lirk5hbFAIB1a4hMhcXZ8nZRmSaSbarSlyp2w==" saltValue="gGKai2csonfdvFEdptmuZA==" spinCount="100000" sheet="1" objects="1" scenarios="1"/>
  <mergeCells count="2">
    <mergeCell ref="D3:F3"/>
    <mergeCell ref="A3:B3"/>
  </mergeCells>
  <hyperlinks>
    <hyperlink ref="A3" r:id="rId1" display="www.ausschreiben.de" xr:uid="{00000000-0004-0000-0E00-000000000000}"/>
    <hyperlink ref="A3:B3" r:id="rId2" display="http://www.ausschreiben.de/katalog/hilti/position/85" xr:uid="{00000000-0004-0000-0E00-000001000000}"/>
  </hyperlinks>
  <pageMargins left="0.7" right="0.7" top="0.78740157499999996" bottom="0.78740157499999996"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
  <dimension ref="A1:F60"/>
  <sheetViews>
    <sheetView showGridLines="0" showRowColHeaders="0" zoomScaleNormal="100" workbookViewId="0">
      <selection activeCell="E12" sqref="E12"/>
    </sheetView>
  </sheetViews>
  <sheetFormatPr baseColWidth="10" defaultColWidth="11.33203125" defaultRowHeight="12.7"/>
  <cols>
    <col min="1" max="1" width="16.6640625" customWidth="1"/>
    <col min="2" max="3" width="34" customWidth="1"/>
  </cols>
  <sheetData>
    <row r="1" spans="1:6">
      <c r="B1" s="78"/>
    </row>
    <row r="2" spans="1:6" ht="15.55">
      <c r="A2" s="901" t="s">
        <v>173</v>
      </c>
      <c r="B2" s="917" t="s">
        <v>1498</v>
      </c>
      <c r="C2" s="917"/>
      <c r="D2" s="917"/>
      <c r="E2" s="902" t="s">
        <v>583</v>
      </c>
      <c r="F2" s="917"/>
    </row>
    <row r="3" spans="1:6" ht="13.85">
      <c r="A3" s="880"/>
    </row>
    <row r="4" spans="1:6" ht="13.85">
      <c r="A4" s="901"/>
      <c r="B4" s="901" t="s">
        <v>1501</v>
      </c>
    </row>
    <row r="58" spans="1:2" ht="17.850000000000001">
      <c r="A58" s="79"/>
    </row>
    <row r="60" spans="1:2" ht="17.850000000000001">
      <c r="A60" s="79"/>
      <c r="B60" s="167"/>
    </row>
  </sheetData>
  <sheetProtection algorithmName="SHA-512" hashValue="u7YsLTHablXewbQL7KCvl1n9SmgVUuFKgDNHxU0tOHtHxyewsOwaSUtqHS5FGZ/DHBfTx9+UysxnFDoynQrreQ==" saltValue="QdC/bk2ulybCmYTywagjVQ==" spinCount="100000" sheet="1" objects="1" scenarios="1"/>
  <hyperlinks>
    <hyperlink ref="E2" r:id="rId1" xr:uid="{00000000-0004-0000-0F00-000001000000}"/>
    <hyperlink ref="B2" r:id="rId2" display="ETA-16/0143" xr:uid="{B4CC4D69-D372-4882-A0FC-20E12F892892}"/>
  </hyperlinks>
  <pageMargins left="0.7" right="0.7" top="0.78740157499999996" bottom="0.78740157499999996" header="0.3" footer="0.3"/>
  <pageSetup paperSize="9" orientation="portrait" horizontalDpi="1200" verticalDpi="12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4"/>
  <dimension ref="A1:P63"/>
  <sheetViews>
    <sheetView topLeftCell="A16" zoomScaleNormal="100" workbookViewId="0">
      <selection activeCell="O40" sqref="O40"/>
    </sheetView>
  </sheetViews>
  <sheetFormatPr baseColWidth="10" defaultColWidth="11.33203125" defaultRowHeight="12.7"/>
  <cols>
    <col min="1" max="1" width="33.88671875" customWidth="1"/>
    <col min="2" max="2" width="7.88671875" customWidth="1"/>
    <col min="4" max="4" width="4.33203125" customWidth="1"/>
  </cols>
  <sheetData>
    <row r="1" spans="1:5" ht="15.55">
      <c r="A1" s="244"/>
    </row>
    <row r="5" spans="1:5">
      <c r="E5" s="80"/>
    </row>
    <row r="10" spans="1:5">
      <c r="A10" s="76"/>
      <c r="B10" s="81"/>
      <c r="C10" s="77"/>
    </row>
    <row r="11" spans="1:5">
      <c r="A11" s="166"/>
      <c r="B11" s="81"/>
      <c r="C11" s="77"/>
    </row>
    <row r="12" spans="1:5">
      <c r="A12" s="76"/>
      <c r="B12" s="81"/>
      <c r="C12" s="77"/>
    </row>
    <row r="13" spans="1:5">
      <c r="A13" s="76"/>
      <c r="B13" s="81"/>
      <c r="C13" s="77"/>
    </row>
    <row r="14" spans="1:5">
      <c r="A14" s="76"/>
      <c r="B14" s="81"/>
      <c r="C14" s="77"/>
    </row>
    <row r="15" spans="1:5">
      <c r="A15" s="76"/>
      <c r="B15" s="81"/>
      <c r="C15" s="77"/>
    </row>
    <row r="16" spans="1:5">
      <c r="A16" s="76"/>
      <c r="B16" s="81"/>
      <c r="C16" s="77"/>
    </row>
    <row r="17" spans="1:15">
      <c r="A17" s="76"/>
      <c r="B17" s="81"/>
      <c r="C17" s="77"/>
    </row>
    <row r="18" spans="1:15">
      <c r="A18" s="76"/>
      <c r="B18" s="81"/>
      <c r="C18" s="77"/>
    </row>
    <row r="19" spans="1:15">
      <c r="A19" s="76"/>
      <c r="B19" s="81"/>
      <c r="C19" s="77"/>
    </row>
    <row r="20" spans="1:15">
      <c r="A20" s="76"/>
      <c r="B20" s="81"/>
      <c r="C20" s="77"/>
    </row>
    <row r="21" spans="1:15">
      <c r="A21" s="76"/>
      <c r="B21" s="81"/>
      <c r="C21" s="77"/>
    </row>
    <row r="22" spans="1:15">
      <c r="A22" s="76"/>
      <c r="B22" s="81"/>
      <c r="C22" s="77"/>
    </row>
    <row r="23" spans="1:15">
      <c r="A23" s="76"/>
      <c r="B23" s="81"/>
      <c r="C23" s="77"/>
    </row>
    <row r="24" spans="1:15">
      <c r="A24" s="76"/>
      <c r="B24" s="81"/>
      <c r="C24" s="77"/>
      <c r="D24" s="263"/>
      <c r="E24" s="263"/>
      <c r="F24" s="263"/>
      <c r="G24" s="263"/>
      <c r="H24" s="263"/>
      <c r="I24" s="263"/>
      <c r="J24" s="263"/>
      <c r="K24" s="263"/>
      <c r="L24" s="263"/>
      <c r="M24" s="263"/>
      <c r="N24" s="263"/>
      <c r="O24" s="263"/>
    </row>
    <row r="25" spans="1:15">
      <c r="A25" s="76"/>
      <c r="B25" s="81"/>
      <c r="C25" s="77"/>
      <c r="D25" s="263"/>
      <c r="E25" s="263"/>
      <c r="F25" s="263"/>
      <c r="G25" s="263"/>
      <c r="H25" s="263"/>
      <c r="I25" s="263"/>
      <c r="J25" s="263"/>
      <c r="K25" s="263"/>
      <c r="L25" s="263"/>
      <c r="M25" s="263"/>
      <c r="N25" s="263"/>
      <c r="O25" s="263"/>
    </row>
    <row r="26" spans="1:15">
      <c r="D26" s="263"/>
      <c r="E26" s="263"/>
      <c r="F26" s="263"/>
      <c r="G26" s="263"/>
      <c r="H26" s="263"/>
      <c r="I26" s="263"/>
      <c r="J26" s="263"/>
      <c r="K26" s="263"/>
      <c r="L26" s="263"/>
      <c r="M26" s="263"/>
      <c r="N26" s="263"/>
      <c r="O26" s="263"/>
    </row>
    <row r="27" spans="1:15">
      <c r="D27" s="263"/>
      <c r="E27" s="263"/>
      <c r="F27" s="263"/>
      <c r="G27" s="263"/>
      <c r="H27" s="263"/>
      <c r="I27" s="263"/>
      <c r="J27" s="263"/>
      <c r="K27" s="263"/>
      <c r="L27" s="263"/>
      <c r="M27" s="263"/>
      <c r="N27" s="263"/>
      <c r="O27" s="263"/>
    </row>
    <row r="28" spans="1:15">
      <c r="D28" s="263"/>
      <c r="E28" s="263"/>
      <c r="F28" s="263"/>
      <c r="G28" s="263"/>
      <c r="H28" s="263"/>
      <c r="I28" s="263"/>
      <c r="J28" s="263"/>
      <c r="K28" s="263"/>
      <c r="L28" s="263"/>
      <c r="M28" s="263"/>
      <c r="N28" s="263"/>
      <c r="O28" s="263"/>
    </row>
    <row r="29" spans="1:15">
      <c r="D29" s="263"/>
      <c r="E29" s="263"/>
      <c r="F29" s="263"/>
      <c r="G29" s="263"/>
      <c r="H29" s="263"/>
      <c r="I29" s="263"/>
      <c r="J29" s="263"/>
      <c r="K29" s="263"/>
      <c r="L29" s="263"/>
      <c r="M29" s="263"/>
      <c r="N29" s="263"/>
      <c r="O29" s="263"/>
    </row>
    <row r="30" spans="1:15">
      <c r="D30" s="263"/>
      <c r="E30" s="263"/>
      <c r="F30" s="263"/>
      <c r="G30" s="263"/>
      <c r="H30" s="263"/>
      <c r="I30" s="263"/>
      <c r="J30" s="263"/>
      <c r="K30" s="263"/>
      <c r="L30" s="263"/>
      <c r="M30" s="263"/>
      <c r="N30" s="263"/>
      <c r="O30" s="263"/>
    </row>
    <row r="31" spans="1:15">
      <c r="D31" s="263"/>
      <c r="E31" s="263"/>
      <c r="F31" s="263"/>
      <c r="G31" s="263"/>
      <c r="H31" s="263"/>
      <c r="I31" s="263"/>
      <c r="J31" s="263"/>
      <c r="K31" s="263"/>
      <c r="L31" s="263"/>
      <c r="M31" s="263"/>
      <c r="N31" s="263"/>
      <c r="O31" s="263"/>
    </row>
    <row r="32" spans="1:15">
      <c r="D32" s="263"/>
      <c r="E32" s="263"/>
      <c r="F32" s="263"/>
      <c r="G32" s="263"/>
      <c r="H32" s="263"/>
      <c r="I32" s="263"/>
      <c r="J32" s="263"/>
      <c r="K32" s="263"/>
      <c r="L32" s="263"/>
      <c r="M32" s="263"/>
      <c r="N32" s="263"/>
      <c r="O32" s="263"/>
    </row>
    <row r="33" spans="4:15">
      <c r="D33" s="263"/>
      <c r="E33" s="263"/>
      <c r="F33" s="263"/>
      <c r="G33" s="263"/>
      <c r="H33" s="263"/>
      <c r="I33" s="263"/>
      <c r="J33" s="263"/>
      <c r="K33" s="263"/>
      <c r="L33" s="263"/>
      <c r="M33" s="263"/>
      <c r="N33" s="263"/>
      <c r="O33" s="263"/>
    </row>
    <row r="34" spans="4:15">
      <c r="D34" s="263"/>
      <c r="E34" s="263"/>
      <c r="F34" s="263"/>
      <c r="G34" s="263"/>
      <c r="H34" s="263"/>
      <c r="I34" s="263"/>
      <c r="J34" s="263"/>
      <c r="K34" s="263"/>
      <c r="L34" s="263"/>
      <c r="M34" s="263"/>
      <c r="N34" s="263"/>
      <c r="O34" s="263"/>
    </row>
    <row r="35" spans="4:15">
      <c r="D35" s="263"/>
      <c r="E35" s="263"/>
      <c r="F35" s="263"/>
      <c r="G35" s="263"/>
      <c r="H35" s="263"/>
      <c r="I35" s="263"/>
      <c r="J35" s="263"/>
      <c r="K35" s="263"/>
      <c r="L35" s="263"/>
      <c r="M35" s="263"/>
      <c r="N35" s="263"/>
      <c r="O35" s="263"/>
    </row>
    <row r="36" spans="4:15">
      <c r="D36" s="263"/>
      <c r="E36" s="263"/>
      <c r="F36" s="263"/>
      <c r="G36" s="263"/>
      <c r="H36" s="263"/>
      <c r="I36" s="263"/>
      <c r="J36" s="263"/>
      <c r="K36" s="263"/>
      <c r="L36" s="263"/>
      <c r="M36" s="263"/>
      <c r="N36" s="263"/>
      <c r="O36" s="263"/>
    </row>
    <row r="37" spans="4:15">
      <c r="D37" s="263"/>
      <c r="E37" s="263"/>
      <c r="F37" s="263"/>
      <c r="G37" s="263"/>
      <c r="H37" s="263"/>
      <c r="I37" s="263"/>
      <c r="J37" s="263"/>
      <c r="K37" s="263"/>
      <c r="L37" s="263"/>
      <c r="M37" s="263"/>
      <c r="N37" s="263"/>
      <c r="O37" s="263"/>
    </row>
    <row r="38" spans="4:15">
      <c r="D38" s="263"/>
      <c r="E38" s="263"/>
      <c r="F38" s="263"/>
      <c r="G38" s="263"/>
      <c r="H38" s="263"/>
      <c r="I38" s="263"/>
      <c r="J38" s="263"/>
      <c r="K38" s="263"/>
      <c r="L38" s="263"/>
      <c r="M38" s="263"/>
      <c r="N38" s="263"/>
      <c r="O38" s="263"/>
    </row>
    <row r="39" spans="4:15">
      <c r="D39" s="263"/>
      <c r="E39" s="263"/>
      <c r="F39" s="263"/>
      <c r="G39" s="263"/>
      <c r="H39" s="263"/>
      <c r="I39" s="263"/>
      <c r="J39" s="263"/>
      <c r="K39" s="263"/>
      <c r="L39" s="263"/>
      <c r="M39" s="263"/>
      <c r="N39" s="263"/>
      <c r="O39" s="263"/>
    </row>
    <row r="40" spans="4:15">
      <c r="D40" s="263"/>
      <c r="E40" s="263"/>
      <c r="F40" s="263"/>
      <c r="G40" s="263"/>
      <c r="H40" s="263"/>
      <c r="I40" s="263"/>
      <c r="J40" s="263"/>
      <c r="K40" s="263"/>
      <c r="L40" s="263"/>
      <c r="M40" s="263"/>
      <c r="N40" s="263"/>
      <c r="O40" s="263"/>
    </row>
    <row r="41" spans="4:15">
      <c r="D41" s="263"/>
      <c r="E41" s="263"/>
      <c r="F41" s="263"/>
      <c r="G41" s="263"/>
      <c r="H41" s="263"/>
      <c r="I41" s="263"/>
      <c r="J41" s="263"/>
      <c r="K41" s="263"/>
      <c r="L41" s="263"/>
      <c r="M41" s="263"/>
      <c r="N41" s="263"/>
      <c r="O41" s="263"/>
    </row>
    <row r="42" spans="4:15">
      <c r="D42" s="263"/>
      <c r="E42" s="263"/>
      <c r="F42" s="263"/>
      <c r="G42" s="263"/>
      <c r="H42" s="263"/>
      <c r="I42" s="263"/>
      <c r="J42" s="263"/>
      <c r="K42" s="263"/>
      <c r="L42" s="263"/>
      <c r="M42" s="263"/>
      <c r="N42" s="263"/>
      <c r="O42" s="263"/>
    </row>
    <row r="43" spans="4:15" ht="13" customHeight="1">
      <c r="D43" s="263"/>
      <c r="E43" s="263"/>
      <c r="F43" s="263"/>
      <c r="G43" s="263"/>
      <c r="H43" s="263"/>
      <c r="I43" s="263"/>
      <c r="J43" s="263"/>
      <c r="K43" s="263"/>
      <c r="L43" s="263"/>
      <c r="M43" s="263"/>
      <c r="N43" s="263"/>
      <c r="O43" s="263"/>
    </row>
    <row r="44" spans="4:15">
      <c r="D44" s="263"/>
      <c r="E44" s="263"/>
      <c r="F44" s="263"/>
      <c r="G44" s="263"/>
      <c r="H44" s="263"/>
      <c r="I44" s="263"/>
      <c r="J44" s="263"/>
      <c r="K44" s="263"/>
      <c r="L44" s="263"/>
      <c r="M44" s="263"/>
      <c r="N44" s="263"/>
      <c r="O44" s="263"/>
    </row>
    <row r="45" spans="4:15">
      <c r="D45" s="263"/>
      <c r="E45" s="263"/>
      <c r="F45" s="263"/>
      <c r="G45" s="263"/>
      <c r="H45" s="263"/>
      <c r="I45" s="263"/>
      <c r="J45" s="263"/>
      <c r="K45" s="263"/>
      <c r="L45" s="263"/>
      <c r="M45" s="263"/>
      <c r="N45" s="263"/>
      <c r="O45" s="263"/>
    </row>
    <row r="46" spans="4:15">
      <c r="D46" s="263"/>
      <c r="E46" s="263"/>
      <c r="F46" s="263"/>
      <c r="G46" s="263"/>
      <c r="H46" s="263"/>
      <c r="I46" s="263"/>
      <c r="J46" s="263"/>
      <c r="K46" s="263"/>
      <c r="L46" s="263"/>
      <c r="M46" s="263"/>
      <c r="N46" s="263"/>
      <c r="O46" s="263"/>
    </row>
    <row r="47" spans="4:15">
      <c r="D47" s="263"/>
      <c r="E47" s="263"/>
      <c r="F47" s="263"/>
      <c r="G47" s="263"/>
      <c r="H47" s="263"/>
      <c r="I47" s="263"/>
      <c r="J47" s="263"/>
      <c r="K47" s="263"/>
      <c r="L47" s="263"/>
      <c r="M47" s="263"/>
      <c r="N47" s="263"/>
      <c r="O47" s="263"/>
    </row>
    <row r="48" spans="4:15">
      <c r="D48" s="263"/>
      <c r="E48" s="263"/>
      <c r="F48" s="263"/>
      <c r="G48" s="263"/>
      <c r="H48" s="263"/>
      <c r="I48" s="263"/>
      <c r="J48" s="263"/>
      <c r="K48" s="263"/>
      <c r="L48" s="263"/>
      <c r="M48" s="263"/>
      <c r="N48" s="263"/>
      <c r="O48" s="263"/>
    </row>
    <row r="49" spans="4:16">
      <c r="D49" s="263"/>
      <c r="E49" s="263"/>
      <c r="F49" s="263"/>
      <c r="G49" s="263"/>
      <c r="H49" s="263"/>
      <c r="I49" s="263"/>
      <c r="J49" s="263"/>
      <c r="K49" s="263"/>
      <c r="L49" s="263"/>
      <c r="M49" s="263"/>
      <c r="N49" s="263"/>
      <c r="O49" s="263"/>
    </row>
    <row r="50" spans="4:16">
      <c r="D50" s="263"/>
      <c r="E50" s="262"/>
      <c r="F50" s="263"/>
      <c r="G50" s="263"/>
      <c r="H50" s="263"/>
      <c r="I50" s="263"/>
      <c r="J50" s="263"/>
      <c r="K50" s="263"/>
      <c r="L50" s="263"/>
      <c r="M50" s="263"/>
      <c r="N50" s="263"/>
      <c r="O50" s="263"/>
    </row>
    <row r="51" spans="4:16">
      <c r="D51" s="263"/>
      <c r="E51" s="263"/>
      <c r="F51" s="263"/>
      <c r="G51" s="263"/>
      <c r="H51" s="263"/>
      <c r="I51" s="263"/>
      <c r="J51" s="263"/>
      <c r="K51" s="263"/>
      <c r="L51" s="263"/>
      <c r="M51" s="263"/>
      <c r="N51" s="263"/>
      <c r="O51" s="263"/>
    </row>
    <row r="52" spans="4:16">
      <c r="D52" s="263"/>
      <c r="E52" s="263"/>
      <c r="F52" s="263"/>
      <c r="G52" s="263"/>
      <c r="H52" s="263"/>
      <c r="I52" s="263"/>
      <c r="J52" s="263"/>
      <c r="K52" s="263"/>
      <c r="L52" s="263"/>
      <c r="M52" s="263"/>
      <c r="N52" s="263"/>
      <c r="O52" s="263"/>
    </row>
    <row r="53" spans="4:16">
      <c r="D53" s="263"/>
      <c r="E53" s="263"/>
      <c r="F53" s="263"/>
      <c r="G53" s="263"/>
      <c r="H53" s="263"/>
      <c r="I53" s="263"/>
      <c r="J53" s="263"/>
      <c r="K53" s="263"/>
      <c r="L53" s="263"/>
      <c r="M53" s="263"/>
      <c r="N53" s="263"/>
      <c r="O53" s="263"/>
    </row>
    <row r="54" spans="4:16">
      <c r="M54" s="168"/>
      <c r="N54" s="168"/>
      <c r="O54" s="168"/>
      <c r="P54" s="168"/>
    </row>
    <row r="55" spans="4:16">
      <c r="M55" s="168"/>
      <c r="N55" s="168"/>
      <c r="O55" s="168"/>
      <c r="P55" s="168"/>
    </row>
    <row r="56" spans="4:16" ht="19.149999999999999" customHeight="1">
      <c r="M56" s="169"/>
      <c r="N56" s="169"/>
      <c r="O56" s="168"/>
      <c r="P56" s="168"/>
    </row>
    <row r="57" spans="4:16" ht="19.149999999999999" customHeight="1">
      <c r="M57" s="170"/>
      <c r="N57" s="171"/>
      <c r="O57" s="168"/>
      <c r="P57" s="168"/>
    </row>
    <row r="58" spans="4:16" ht="19.149999999999999" customHeight="1">
      <c r="M58" s="170"/>
      <c r="N58" s="171"/>
      <c r="O58" s="168"/>
      <c r="P58" s="168"/>
    </row>
    <row r="59" spans="4:16" ht="19.149999999999999" customHeight="1">
      <c r="M59" s="170"/>
      <c r="N59" s="171"/>
      <c r="O59" s="168"/>
      <c r="P59" s="168"/>
    </row>
    <row r="60" spans="4:16" ht="19.149999999999999" customHeight="1">
      <c r="M60" s="170"/>
      <c r="N60" s="171"/>
      <c r="O60" s="168"/>
      <c r="P60" s="168"/>
    </row>
    <row r="61" spans="4:16" ht="19.149999999999999" customHeight="1">
      <c r="M61" s="170"/>
      <c r="N61" s="171"/>
      <c r="O61" s="168"/>
      <c r="P61" s="168"/>
    </row>
    <row r="62" spans="4:16">
      <c r="M62" s="168"/>
      <c r="N62" s="168"/>
      <c r="O62" s="168"/>
      <c r="P62" s="168"/>
    </row>
    <row r="63" spans="4:16">
      <c r="M63" s="168"/>
      <c r="N63" s="168"/>
      <c r="O63" s="168"/>
      <c r="P63" s="168"/>
    </row>
  </sheetData>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7"/>
  <dimension ref="A1"/>
  <sheetViews>
    <sheetView workbookViewId="0">
      <selection activeCell="F15" sqref="F15"/>
    </sheetView>
  </sheetViews>
  <sheetFormatPr baseColWidth="10" defaultColWidth="11.33203125" defaultRowHeight="12.7"/>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
  <sheetViews>
    <sheetView showGridLines="0" showRowColHeaders="0" tabSelected="1" zoomScale="70" zoomScaleNormal="70" workbookViewId="0">
      <selection activeCell="AC47" sqref="AC47"/>
    </sheetView>
  </sheetViews>
  <sheetFormatPr baseColWidth="10" defaultColWidth="11.33203125" defaultRowHeight="12.7"/>
  <cols>
    <col min="1" max="1" width="1.33203125" style="36" customWidth="1"/>
    <col min="2" max="16384" width="11.33203125" style="36"/>
  </cols>
  <sheetData/>
  <sheetProtection algorithmName="SHA-512" hashValue="1e4XaoMFc4h/VDI4iUGWdkTCYRsJzHCCHFou3uqDDuce8ymJ5fLarAmGWgcDki1puUZzMD5zhHVkeVGC7BHPqA==" saltValue="/rbMs1eGdK2VOIWriD3XAw==" spinCount="100000" sheet="1" objects="1" scenarios="1" selectLockedCells="1" selectUnlockedCells="1"/>
  <customSheetViews>
    <customSheetView guid="{39DD0EDE-63E7-470F-AA9E-0FA02F254C3F}" scale="115" showGridLines="0" showRowCol="0">
      <selection activeCell="N24" sqref="N24"/>
      <pageMargins left="0.78740157499999996" right="0.78740157499999996" top="0.984251969" bottom="0.984251969" header="0.4921259845" footer="0.4921259845"/>
      <pageSetup paperSize="9" orientation="portrait" horizontalDpi="1200" verticalDpi="1200" r:id="rId1"/>
      <headerFooter alignWithMargins="0"/>
    </customSheetView>
  </customSheetViews>
  <phoneticPr fontId="25" type="noConversion"/>
  <pageMargins left="0.78740157499999996" right="0.78740157499999996" top="0.984251969" bottom="0.984251969" header="0.4921259845" footer="0.4921259845"/>
  <pageSetup paperSize="9" orientation="portrait" horizontalDpi="1200" verticalDpi="1200"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P619:AB671"/>
  <sheetViews>
    <sheetView showGridLines="0" zoomScale="115" zoomScaleNormal="115" workbookViewId="0">
      <selection activeCell="L150" sqref="L150"/>
    </sheetView>
  </sheetViews>
  <sheetFormatPr baseColWidth="10" defaultColWidth="11.33203125" defaultRowHeight="12.7"/>
  <cols>
    <col min="1" max="1" width="4.6640625" style="585" customWidth="1"/>
    <col min="2" max="15" width="11.33203125" style="585"/>
    <col min="16" max="16" width="15.88671875" style="585" bestFit="1" customWidth="1"/>
    <col min="17" max="16384" width="11.33203125" style="585"/>
  </cols>
  <sheetData>
    <row r="619" spans="16:16">
      <c r="P619" s="579"/>
    </row>
    <row r="620" spans="16:16" ht="15.55">
      <c r="P620" s="580"/>
    </row>
    <row r="621" spans="16:16" ht="15.55">
      <c r="P621" s="580"/>
    </row>
    <row r="622" spans="16:16">
      <c r="P622" s="579"/>
    </row>
    <row r="624" spans="16:16" ht="16" customHeight="1"/>
    <row r="646" spans="16:28" ht="17.850000000000001">
      <c r="P646" s="581"/>
      <c r="Q646" s="496"/>
      <c r="R646" s="496"/>
      <c r="S646" s="496"/>
      <c r="T646" s="496"/>
      <c r="U646" s="496"/>
      <c r="V646" s="496"/>
      <c r="W646" s="496"/>
      <c r="X646" s="496"/>
      <c r="Y646" s="496"/>
      <c r="Z646" s="496"/>
      <c r="AA646" s="496"/>
      <c r="AB646" s="496"/>
    </row>
    <row r="647" spans="16:28" ht="17.850000000000001">
      <c r="P647" s="496"/>
      <c r="Q647" s="496"/>
      <c r="R647" s="496"/>
      <c r="S647" s="496"/>
      <c r="T647" s="496"/>
      <c r="U647" s="496"/>
      <c r="V647" s="496"/>
      <c r="W647" s="496"/>
      <c r="X647" s="496"/>
      <c r="Y647" s="496"/>
      <c r="Z647" s="496"/>
      <c r="AA647" s="496"/>
      <c r="AB647" s="496"/>
    </row>
    <row r="648" spans="16:28" ht="17.850000000000001">
      <c r="P648" s="496"/>
      <c r="Q648" s="496"/>
      <c r="R648" s="496"/>
      <c r="S648" s="496"/>
      <c r="T648" s="496"/>
      <c r="U648" s="496"/>
      <c r="V648" s="496"/>
      <c r="W648" s="496"/>
      <c r="X648" s="496"/>
      <c r="Y648" s="496"/>
      <c r="Z648" s="496"/>
      <c r="AA648" s="496"/>
      <c r="AB648" s="496"/>
    </row>
    <row r="649" spans="16:28" ht="17.850000000000001">
      <c r="P649" s="581"/>
      <c r="Q649" s="496"/>
      <c r="R649" s="496"/>
      <c r="S649" s="496"/>
      <c r="T649" s="496"/>
      <c r="U649" s="496"/>
      <c r="V649" s="496"/>
      <c r="W649" s="496"/>
      <c r="X649" s="496"/>
      <c r="Y649" s="496"/>
      <c r="Z649" s="496"/>
      <c r="AA649" s="496"/>
      <c r="AB649" s="496"/>
    </row>
    <row r="650" spans="16:28" ht="17.850000000000001">
      <c r="P650" s="582"/>
      <c r="Q650" s="496"/>
      <c r="R650" s="496"/>
      <c r="S650" s="496"/>
      <c r="T650" s="496"/>
      <c r="U650" s="496"/>
      <c r="V650" s="496"/>
      <c r="W650" s="496"/>
      <c r="X650" s="496"/>
      <c r="Y650" s="496"/>
      <c r="Z650" s="496"/>
      <c r="AA650" s="496"/>
      <c r="AB650" s="496"/>
    </row>
    <row r="651" spans="16:28" ht="17.850000000000001">
      <c r="P651" s="496"/>
      <c r="Q651" s="496"/>
      <c r="R651" s="496"/>
      <c r="S651" s="496"/>
      <c r="U651" s="496"/>
      <c r="V651" s="496"/>
      <c r="W651" s="496"/>
      <c r="X651" s="496"/>
      <c r="Y651" s="496"/>
      <c r="Z651" s="496"/>
      <c r="AA651" s="496"/>
      <c r="AB651" s="496"/>
    </row>
    <row r="652" spans="16:28" ht="17.850000000000001">
      <c r="P652" s="583"/>
      <c r="Q652" s="496"/>
      <c r="R652" s="496"/>
      <c r="S652" s="496"/>
      <c r="T652" s="496"/>
      <c r="U652" s="496"/>
      <c r="V652" s="496"/>
      <c r="W652" s="496"/>
      <c r="X652" s="496"/>
      <c r="Y652" s="496"/>
      <c r="Z652" s="496"/>
      <c r="AA652" s="496"/>
      <c r="AB652" s="496"/>
    </row>
    <row r="653" spans="16:28" ht="17.850000000000001">
      <c r="P653" s="496"/>
      <c r="Q653" s="496"/>
      <c r="R653" s="496"/>
      <c r="S653" s="496"/>
      <c r="T653" s="496"/>
      <c r="U653" s="496"/>
      <c r="V653" s="496"/>
      <c r="W653" s="496"/>
      <c r="X653" s="496"/>
      <c r="Y653" s="496"/>
      <c r="Z653" s="496"/>
      <c r="AA653" s="496"/>
      <c r="AB653" s="496"/>
    </row>
    <row r="654" spans="16:28" ht="17.850000000000001">
      <c r="P654" s="583"/>
      <c r="Q654" s="496"/>
      <c r="R654" s="496"/>
      <c r="S654" s="496"/>
      <c r="T654" s="496"/>
      <c r="U654" s="496"/>
      <c r="V654" s="496"/>
      <c r="W654" s="496"/>
      <c r="X654" s="496"/>
      <c r="Y654" s="496"/>
      <c r="Z654" s="496"/>
      <c r="AA654" s="496"/>
      <c r="AB654" s="496"/>
    </row>
    <row r="655" spans="16:28" ht="17.850000000000001">
      <c r="P655" s="582"/>
      <c r="Q655" s="496"/>
      <c r="R655" s="496"/>
      <c r="S655" s="496"/>
      <c r="T655" s="496"/>
      <c r="U655" s="496"/>
      <c r="V655" s="496"/>
      <c r="W655" s="496"/>
      <c r="X655" s="496"/>
      <c r="Y655" s="496"/>
      <c r="Z655" s="496"/>
      <c r="AA655" s="496"/>
      <c r="AB655" s="496"/>
    </row>
    <row r="656" spans="16:28" ht="17.850000000000001">
      <c r="P656" s="496"/>
      <c r="Q656" s="496"/>
      <c r="R656" s="496"/>
      <c r="S656" s="496"/>
      <c r="U656" s="496"/>
      <c r="V656" s="496"/>
      <c r="W656" s="496"/>
      <c r="X656" s="496"/>
      <c r="Y656" s="496"/>
      <c r="Z656" s="496"/>
      <c r="AA656" s="496"/>
      <c r="AB656" s="496"/>
    </row>
    <row r="657" spans="16:28" ht="17.850000000000001">
      <c r="P657" s="583"/>
      <c r="Q657" s="496"/>
      <c r="R657" s="496"/>
      <c r="S657" s="496"/>
      <c r="T657" s="496"/>
      <c r="U657" s="496"/>
      <c r="V657" s="496"/>
      <c r="W657" s="496"/>
      <c r="X657" s="496"/>
      <c r="Y657" s="496"/>
      <c r="Z657" s="496"/>
      <c r="AA657" s="496"/>
      <c r="AB657" s="496"/>
    </row>
    <row r="658" spans="16:28" ht="17.850000000000001">
      <c r="P658" s="496"/>
      <c r="Q658" s="496"/>
      <c r="R658" s="496"/>
      <c r="S658" s="496"/>
      <c r="T658" s="496"/>
      <c r="U658" s="496"/>
      <c r="V658" s="496"/>
      <c r="W658" s="496"/>
      <c r="X658" s="496"/>
      <c r="Y658" s="496"/>
      <c r="Z658" s="496"/>
      <c r="AA658" s="496"/>
      <c r="AB658" s="496"/>
    </row>
    <row r="659" spans="16:28" ht="17.850000000000001">
      <c r="P659" s="583"/>
      <c r="Q659" s="496"/>
      <c r="R659" s="496"/>
      <c r="S659" s="496"/>
      <c r="T659" s="496"/>
      <c r="U659" s="496"/>
      <c r="V659" s="496"/>
      <c r="W659" s="496"/>
      <c r="X659" s="496"/>
      <c r="Y659" s="496"/>
      <c r="Z659" s="496"/>
      <c r="AA659" s="496"/>
      <c r="AB659" s="496"/>
    </row>
    <row r="660" spans="16:28" ht="17.850000000000001">
      <c r="P660" s="496"/>
      <c r="Q660" s="496"/>
      <c r="R660" s="496"/>
      <c r="S660" s="496"/>
      <c r="T660" s="496"/>
      <c r="U660" s="496"/>
      <c r="V660" s="496"/>
      <c r="W660" s="496"/>
      <c r="X660" s="496"/>
      <c r="Y660" s="496"/>
      <c r="Z660" s="496"/>
      <c r="AA660" s="496"/>
      <c r="AB660" s="496"/>
    </row>
    <row r="661" spans="16:28" ht="17.850000000000001">
      <c r="V661" s="496"/>
      <c r="W661" s="496"/>
      <c r="X661" s="496"/>
      <c r="Y661" s="496"/>
      <c r="Z661" s="496"/>
      <c r="AA661" s="496"/>
      <c r="AB661" s="496"/>
    </row>
    <row r="662" spans="16:28" ht="17.850000000000001">
      <c r="P662" s="581"/>
      <c r="Q662" s="496"/>
      <c r="R662" s="496"/>
      <c r="S662" s="496"/>
      <c r="T662" s="496"/>
      <c r="U662" s="496"/>
      <c r="V662" s="496"/>
      <c r="W662" s="496"/>
      <c r="X662" s="496"/>
      <c r="Y662" s="496"/>
      <c r="Z662" s="496"/>
      <c r="AA662" s="496"/>
      <c r="AB662" s="496"/>
    </row>
    <row r="663" spans="16:28" ht="17.850000000000001">
      <c r="P663" s="496"/>
      <c r="Q663" s="496"/>
      <c r="R663" s="496"/>
      <c r="S663" s="496"/>
      <c r="T663" s="496"/>
      <c r="U663" s="496"/>
      <c r="V663" s="496"/>
      <c r="W663" s="496"/>
      <c r="X663" s="496"/>
      <c r="Y663" s="496"/>
      <c r="Z663" s="496"/>
      <c r="AA663" s="496"/>
      <c r="AB663" s="496"/>
    </row>
    <row r="664" spans="16:28" ht="17.850000000000001">
      <c r="P664" s="496"/>
      <c r="Q664" s="496"/>
      <c r="R664" s="496"/>
      <c r="S664" s="496"/>
      <c r="T664" s="496"/>
      <c r="U664" s="496"/>
    </row>
    <row r="665" spans="16:28" ht="17.850000000000001">
      <c r="P665" s="496"/>
    </row>
    <row r="666" spans="16:28" ht="17.850000000000001">
      <c r="P666" s="496"/>
    </row>
    <row r="671" spans="16:28" ht="17.850000000000001">
      <c r="P671" s="584"/>
    </row>
  </sheetData>
  <sheetProtection algorithmName="SHA-512" hashValue="Z3A12H0zHWRoKSUIxxHRYs0ZnF2oUJAxy2+G6asP3kQd0nVB93ahI8Eny7UbGDh7sT7MTSJj91YecHSfgIBO3w==" saltValue="oIYFN5cBTbMcy240HdgSCg==" spinCount="100000" sheet="1" objects="1" scenarios="1"/>
  <customSheetViews>
    <customSheetView guid="{39DD0EDE-63E7-470F-AA9E-0FA02F254C3F}" scale="85" showGridLines="0" topLeftCell="A709">
      <selection activeCell="O301" sqref="O301"/>
      <pageMargins left="0.78740157499999996" right="0.78740157499999996" top="0.984251969" bottom="0.984251969" header="0.4921259845" footer="0.4921259845"/>
      <pageSetup paperSize="9" orientation="portrait" r:id="rId1"/>
      <headerFooter alignWithMargins="0"/>
    </customSheetView>
  </customSheetViews>
  <phoneticPr fontId="25" type="noConversion"/>
  <pageMargins left="0.78740157499999996" right="0.78740157499999996" top="0.984251969" bottom="0.984251969" header="0.4921259845" footer="0.4921259845"/>
  <pageSetup paperSize="9"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6"/>
  <dimension ref="A1:S272"/>
  <sheetViews>
    <sheetView showGridLines="0" showRowColHeaders="0" topLeftCell="B1" zoomScale="85" zoomScaleNormal="85" zoomScaleSheetLayoutView="100" zoomScalePageLayoutView="70" workbookViewId="0">
      <selection activeCell="O50" sqref="O50"/>
    </sheetView>
  </sheetViews>
  <sheetFormatPr baseColWidth="10" defaultColWidth="11.33203125" defaultRowHeight="12.7"/>
  <cols>
    <col min="1" max="1" width="0.33203125" style="606" hidden="1" customWidth="1"/>
    <col min="2" max="2" width="12.33203125" style="606" customWidth="1"/>
    <col min="3" max="3" width="11.33203125" style="606" customWidth="1"/>
    <col min="4" max="4" width="6.88671875" style="606" customWidth="1"/>
    <col min="5" max="5" width="5" style="606" customWidth="1"/>
    <col min="6" max="6" width="3.6640625" style="606" customWidth="1"/>
    <col min="7" max="7" width="8.6640625" style="606" customWidth="1"/>
    <col min="8" max="8" width="9.33203125" style="606" customWidth="1"/>
    <col min="9" max="9" width="8.109375" style="606" customWidth="1"/>
    <col min="10" max="10" width="9.33203125" style="606" customWidth="1"/>
    <col min="11" max="11" width="10.33203125" style="606" customWidth="1"/>
    <col min="12" max="12" width="9.6640625" style="606" customWidth="1"/>
    <col min="13" max="13" width="1.33203125" style="606" hidden="1" customWidth="1"/>
    <col min="14" max="14" width="2.33203125" style="606" hidden="1" customWidth="1"/>
    <col min="15" max="15" width="172.33203125" style="606" customWidth="1"/>
    <col min="16" max="17" width="12" style="606" customWidth="1"/>
    <col min="18" max="18" width="5" style="606" customWidth="1"/>
    <col min="19" max="19" width="1.33203125" style="606" customWidth="1"/>
    <col min="20" max="22" width="12" style="606" customWidth="1"/>
    <col min="23" max="23" width="5" style="606" customWidth="1"/>
    <col min="24" max="24" width="1.33203125" style="606" customWidth="1"/>
    <col min="25" max="16384" width="11.33203125" style="606"/>
  </cols>
  <sheetData>
    <row r="1" spans="1:15" ht="27.25" customHeight="1">
      <c r="A1" s="246"/>
      <c r="B1" s="246"/>
      <c r="C1" s="247"/>
      <c r="D1" s="247"/>
      <c r="E1" s="247"/>
      <c r="F1" s="247"/>
      <c r="G1" s="247"/>
      <c r="H1" s="246"/>
      <c r="I1" s="248"/>
      <c r="J1" s="248"/>
      <c r="K1" s="248"/>
      <c r="L1" s="248"/>
      <c r="M1" s="246"/>
      <c r="N1" s="249"/>
      <c r="O1" s="249"/>
    </row>
    <row r="2" spans="1:15" ht="17.850000000000001" customHeight="1">
      <c r="A2" s="246"/>
      <c r="B2" s="472" t="str">
        <f>Eingabe!B2</f>
        <v xml:space="preserve">HILTI Design-Tool Kappenverankerung 8.3            </v>
      </c>
      <c r="C2" s="473"/>
      <c r="D2" s="473"/>
      <c r="E2" s="473"/>
      <c r="F2" s="473"/>
      <c r="G2" s="473"/>
      <c r="H2" s="937" t="str">
        <f>Eingabe!I2</f>
        <v>Version gültig bis 30.04.2021</v>
      </c>
      <c r="I2" s="937"/>
      <c r="J2" s="937"/>
      <c r="K2" s="937"/>
      <c r="L2" s="937"/>
      <c r="M2" s="246"/>
      <c r="N2" s="249"/>
      <c r="O2" s="249"/>
    </row>
    <row r="3" spans="1:15" ht="9.25" customHeight="1">
      <c r="A3" s="246"/>
      <c r="B3" s="472"/>
      <c r="C3" s="473"/>
      <c r="D3" s="473"/>
      <c r="E3" s="473"/>
      <c r="F3" s="473"/>
      <c r="G3" s="473"/>
      <c r="H3" s="591"/>
      <c r="I3" s="591"/>
      <c r="J3" s="591"/>
      <c r="K3" s="591"/>
      <c r="L3" s="591"/>
      <c r="M3" s="246"/>
      <c r="N3" s="249"/>
      <c r="O3" s="249"/>
    </row>
    <row r="4" spans="1:15" ht="15.55">
      <c r="A4" s="928" t="s">
        <v>311</v>
      </c>
      <c r="B4" s="928"/>
      <c r="C4" s="928"/>
      <c r="D4" s="928"/>
      <c r="E4" s="928"/>
      <c r="F4" s="928"/>
      <c r="G4" s="928"/>
      <c r="H4" s="928"/>
      <c r="I4" s="928"/>
      <c r="J4" s="928"/>
      <c r="K4" s="928"/>
      <c r="L4" s="928"/>
      <c r="M4" s="928"/>
      <c r="N4" s="249"/>
      <c r="O4" s="249"/>
    </row>
    <row r="5" spans="1:15" ht="15.55">
      <c r="A5" s="294"/>
      <c r="B5" s="295" t="s">
        <v>567</v>
      </c>
      <c r="C5" s="294"/>
      <c r="D5" s="294"/>
      <c r="E5" s="294"/>
      <c r="F5" s="294"/>
      <c r="G5" s="294"/>
      <c r="H5" s="294"/>
      <c r="I5" s="294"/>
      <c r="J5" s="294"/>
      <c r="K5" s="294"/>
      <c r="L5" s="294"/>
      <c r="M5" s="284"/>
      <c r="N5" s="249"/>
      <c r="O5" s="249"/>
    </row>
    <row r="6" spans="1:15" ht="2.2999999999999998" customHeight="1">
      <c r="A6" s="294"/>
      <c r="B6" s="294"/>
      <c r="C6" s="294"/>
      <c r="D6" s="294"/>
      <c r="E6" s="294"/>
      <c r="F6" s="294"/>
      <c r="G6" s="294"/>
      <c r="H6" s="294"/>
      <c r="I6" s="294"/>
      <c r="J6" s="294"/>
      <c r="K6" s="294"/>
      <c r="L6" s="294"/>
      <c r="M6" s="284"/>
      <c r="N6" s="249"/>
      <c r="O6" s="249"/>
    </row>
    <row r="7" spans="1:15" ht="5.9" customHeight="1">
      <c r="A7" s="246"/>
      <c r="B7" s="246"/>
      <c r="C7" s="246"/>
      <c r="D7" s="246"/>
      <c r="E7" s="246"/>
      <c r="F7" s="246"/>
      <c r="G7" s="246"/>
      <c r="H7" s="246"/>
      <c r="I7" s="246"/>
      <c r="J7" s="246"/>
      <c r="K7" s="246"/>
      <c r="L7" s="246"/>
      <c r="M7" s="246"/>
      <c r="N7" s="249"/>
      <c r="O7" s="249"/>
    </row>
    <row r="8" spans="1:15" ht="15.45" customHeight="1">
      <c r="A8" s="246"/>
      <c r="B8" s="498" t="s">
        <v>541</v>
      </c>
      <c r="C8" s="249"/>
      <c r="D8" s="249"/>
      <c r="E8" s="261"/>
      <c r="F8" s="261"/>
      <c r="G8" s="261"/>
      <c r="H8" s="261"/>
      <c r="I8" s="261"/>
      <c r="J8" s="261"/>
      <c r="K8" s="261"/>
      <c r="L8" s="261"/>
      <c r="M8" s="246"/>
      <c r="N8" s="249"/>
      <c r="O8" s="249"/>
    </row>
    <row r="9" spans="1:15" ht="9.25" customHeight="1">
      <c r="A9" s="246"/>
      <c r="B9" s="265"/>
      <c r="C9" s="249"/>
      <c r="D9" s="249"/>
      <c r="E9" s="261"/>
      <c r="F9" s="261"/>
      <c r="G9" s="261"/>
      <c r="H9" s="261"/>
      <c r="I9" s="261"/>
      <c r="J9" s="261"/>
      <c r="K9" s="261"/>
      <c r="L9" s="261"/>
      <c r="M9" s="246"/>
      <c r="N9" s="249"/>
      <c r="O9" s="249"/>
    </row>
    <row r="10" spans="1:15" ht="13" customHeight="1">
      <c r="A10" s="605"/>
      <c r="B10" s="595" t="s">
        <v>310</v>
      </c>
      <c r="C10" s="249"/>
      <c r="D10" s="609">
        <v>230</v>
      </c>
      <c r="E10" s="929" t="s">
        <v>0</v>
      </c>
      <c r="F10" s="929"/>
      <c r="G10" s="252"/>
      <c r="H10" s="246"/>
      <c r="I10" s="250"/>
      <c r="J10" s="250"/>
      <c r="K10" s="250"/>
      <c r="L10" s="246"/>
      <c r="M10" s="246"/>
      <c r="N10" s="249"/>
      <c r="O10" s="249"/>
    </row>
    <row r="11" spans="1:15" ht="13" customHeight="1">
      <c r="A11" s="605"/>
      <c r="B11" s="595" t="s">
        <v>312</v>
      </c>
      <c r="C11" s="249"/>
      <c r="D11" s="609">
        <v>300</v>
      </c>
      <c r="E11" s="929" t="s">
        <v>0</v>
      </c>
      <c r="F11" s="929"/>
      <c r="G11" s="252"/>
      <c r="H11" s="246"/>
      <c r="I11" s="250"/>
      <c r="J11" s="250"/>
      <c r="K11" s="250"/>
      <c r="L11" s="246"/>
      <c r="M11" s="246"/>
      <c r="N11" s="249"/>
      <c r="O11" s="249"/>
    </row>
    <row r="12" spans="1:15" ht="13" customHeight="1">
      <c r="A12" s="605"/>
      <c r="B12" s="595" t="s">
        <v>174</v>
      </c>
      <c r="C12" s="249"/>
      <c r="D12" s="268">
        <f>500+(2*D11)</f>
        <v>1100</v>
      </c>
      <c r="E12" s="929" t="s">
        <v>0</v>
      </c>
      <c r="F12" s="929"/>
      <c r="G12" s="252"/>
      <c r="H12" s="246"/>
      <c r="I12" s="250"/>
      <c r="J12" s="250"/>
      <c r="K12" s="250"/>
      <c r="L12" s="246"/>
      <c r="M12" s="246"/>
      <c r="N12" s="249"/>
      <c r="O12" s="249"/>
    </row>
    <row r="13" spans="1:15" ht="13" customHeight="1">
      <c r="A13" s="605"/>
      <c r="B13" s="595" t="s">
        <v>175</v>
      </c>
      <c r="C13" s="249"/>
      <c r="D13" s="610">
        <v>100</v>
      </c>
      <c r="E13" s="929" t="s">
        <v>2</v>
      </c>
      <c r="F13" s="929"/>
      <c r="G13" s="267"/>
      <c r="H13" s="267"/>
      <c r="I13" s="267"/>
      <c r="J13" s="267"/>
      <c r="K13" s="267"/>
      <c r="L13" s="267"/>
      <c r="M13" s="246"/>
      <c r="N13" s="249"/>
      <c r="O13" s="249"/>
    </row>
    <row r="14" spans="1:15" ht="13" customHeight="1">
      <c r="A14" s="605"/>
      <c r="B14" s="950" t="s">
        <v>313</v>
      </c>
      <c r="C14" s="950"/>
      <c r="D14" s="264">
        <f>D13/(D12/1000)</f>
        <v>90.909090909090907</v>
      </c>
      <c r="E14" s="929" t="s">
        <v>98</v>
      </c>
      <c r="F14" s="929"/>
      <c r="G14" s="249"/>
      <c r="H14" s="249"/>
      <c r="I14" s="249"/>
      <c r="J14" s="249"/>
      <c r="K14" s="249"/>
      <c r="L14" s="249"/>
      <c r="M14" s="249"/>
      <c r="N14" s="249"/>
      <c r="O14" s="249"/>
    </row>
    <row r="15" spans="1:15" ht="13" customHeight="1">
      <c r="A15" s="605"/>
      <c r="B15" s="950" t="s">
        <v>314</v>
      </c>
      <c r="C15" s="950"/>
      <c r="D15" s="264">
        <f>D14*((D10-50)/1000)</f>
        <v>16.363636363636363</v>
      </c>
      <c r="E15" s="929" t="s">
        <v>101</v>
      </c>
      <c r="F15" s="929"/>
      <c r="G15" s="951"/>
      <c r="H15" s="951"/>
      <c r="I15" s="951"/>
      <c r="J15" s="951"/>
      <c r="K15" s="951"/>
      <c r="L15" s="951"/>
      <c r="M15" s="951"/>
      <c r="N15" s="951"/>
      <c r="O15" s="249"/>
    </row>
    <row r="16" spans="1:15" ht="13" customHeight="1">
      <c r="A16" s="246"/>
      <c r="B16" s="246"/>
      <c r="C16" s="246"/>
      <c r="D16" s="246"/>
      <c r="E16" s="246"/>
      <c r="F16" s="246"/>
      <c r="G16" s="246"/>
      <c r="H16" s="249"/>
      <c r="I16" s="246"/>
      <c r="J16" s="246"/>
      <c r="K16" s="246"/>
      <c r="L16" s="246"/>
      <c r="M16" s="246"/>
      <c r="N16" s="249"/>
      <c r="O16" s="249"/>
    </row>
    <row r="17" spans="1:19" ht="13" customHeight="1">
      <c r="A17" s="246"/>
      <c r="B17" s="474" t="s">
        <v>315</v>
      </c>
      <c r="C17" s="474"/>
      <c r="D17" s="474"/>
      <c r="E17" s="474"/>
      <c r="F17" s="474"/>
      <c r="G17" s="474"/>
      <c r="H17" s="253"/>
      <c r="I17" s="246"/>
      <c r="J17" s="246"/>
      <c r="K17" s="246"/>
      <c r="L17" s="246"/>
      <c r="M17" s="246"/>
      <c r="N17" s="249"/>
      <c r="O17" s="249"/>
    </row>
    <row r="18" spans="1:19" ht="13" customHeight="1">
      <c r="A18" s="246"/>
      <c r="B18" s="246"/>
      <c r="C18" s="594"/>
      <c r="D18" s="594"/>
      <c r="E18" s="254"/>
      <c r="F18" s="254"/>
      <c r="G18" s="594"/>
      <c r="H18" s="594"/>
      <c r="I18" s="246"/>
      <c r="J18" s="246"/>
      <c r="K18" s="246"/>
      <c r="L18" s="246"/>
      <c r="M18" s="246"/>
      <c r="N18" s="249"/>
      <c r="O18" s="249"/>
    </row>
    <row r="19" spans="1:19" ht="13" customHeight="1">
      <c r="A19" s="246"/>
      <c r="B19" s="249"/>
      <c r="C19" s="592"/>
      <c r="D19" s="592"/>
      <c r="E19" s="592"/>
      <c r="F19" s="246"/>
      <c r="G19" s="592"/>
      <c r="H19" s="592"/>
      <c r="I19" s="592"/>
      <c r="J19" s="592"/>
      <c r="K19" s="592"/>
      <c r="L19" s="592"/>
      <c r="M19" s="246"/>
      <c r="N19" s="249"/>
      <c r="O19" s="249"/>
    </row>
    <row r="20" spans="1:19" ht="23.5" customHeight="1">
      <c r="A20" s="246"/>
      <c r="B20" s="246"/>
      <c r="C20" s="255"/>
      <c r="D20" s="255"/>
      <c r="E20" s="256"/>
      <c r="F20" s="256"/>
      <c r="G20" s="257"/>
      <c r="H20" s="257"/>
      <c r="I20" s="251"/>
      <c r="J20" s="251"/>
      <c r="K20" s="251"/>
      <c r="L20" s="251"/>
      <c r="M20" s="246"/>
      <c r="N20" s="249"/>
      <c r="O20" s="249"/>
    </row>
    <row r="21" spans="1:19" ht="13" customHeight="1">
      <c r="A21" s="246"/>
      <c r="B21" s="251"/>
      <c r="C21" s="255"/>
      <c r="D21" s="266"/>
      <c r="E21" s="256"/>
      <c r="F21" s="256"/>
      <c r="G21" s="257"/>
      <c r="H21" s="257"/>
      <c r="I21" s="258"/>
      <c r="J21" s="258"/>
      <c r="K21" s="258"/>
      <c r="L21" s="251"/>
      <c r="M21" s="246"/>
      <c r="N21" s="249"/>
      <c r="O21" s="249"/>
    </row>
    <row r="22" spans="1:19" ht="13" customHeight="1">
      <c r="A22" s="246"/>
      <c r="B22" s="251"/>
      <c r="C22" s="255"/>
      <c r="D22" s="255"/>
      <c r="E22" s="256"/>
      <c r="F22" s="256"/>
      <c r="G22" s="257"/>
      <c r="H22" s="257"/>
      <c r="I22" s="258"/>
      <c r="J22" s="258"/>
      <c r="K22" s="258"/>
      <c r="L22" s="251"/>
      <c r="M22" s="246"/>
      <c r="N22" s="249"/>
      <c r="O22" s="249"/>
    </row>
    <row r="23" spans="1:19" ht="4.75" customHeight="1">
      <c r="A23" s="246"/>
      <c r="B23" s="251"/>
      <c r="C23" s="255"/>
      <c r="D23" s="255"/>
      <c r="E23" s="256"/>
      <c r="F23" s="256"/>
      <c r="G23" s="257"/>
      <c r="H23" s="257"/>
      <c r="I23" s="258"/>
      <c r="J23" s="258"/>
      <c r="K23" s="258"/>
      <c r="L23" s="251"/>
      <c r="M23" s="246"/>
      <c r="N23" s="249"/>
      <c r="O23" s="249"/>
    </row>
    <row r="24" spans="1:19" ht="13" customHeight="1">
      <c r="A24" s="246"/>
      <c r="B24" s="251"/>
      <c r="C24" s="252"/>
      <c r="D24" s="252"/>
      <c r="E24" s="246"/>
      <c r="F24" s="246"/>
      <c r="G24" s="259"/>
      <c r="H24" s="259"/>
      <c r="I24" s="258"/>
      <c r="J24" s="258"/>
      <c r="K24" s="258"/>
      <c r="L24" s="251"/>
      <c r="M24" s="246"/>
      <c r="N24" s="249"/>
      <c r="O24" s="249"/>
    </row>
    <row r="25" spans="1:19" ht="15.45" customHeight="1">
      <c r="A25" s="246"/>
      <c r="B25" s="498" t="s">
        <v>565</v>
      </c>
      <c r="C25" s="260"/>
      <c r="D25" s="260"/>
      <c r="E25" s="260"/>
      <c r="F25" s="260"/>
      <c r="G25" s="260"/>
      <c r="H25" s="260"/>
      <c r="I25" s="258"/>
      <c r="J25" s="258"/>
      <c r="K25" s="258"/>
      <c r="L25" s="251"/>
      <c r="M25" s="246"/>
      <c r="N25" s="249"/>
      <c r="O25" s="249"/>
    </row>
    <row r="26" spans="1:19" ht="9.25" customHeight="1">
      <c r="A26" s="246"/>
      <c r="B26" s="246"/>
      <c r="C26" s="594"/>
      <c r="D26" s="594"/>
      <c r="E26" s="254"/>
      <c r="F26" s="254"/>
      <c r="G26" s="594"/>
      <c r="H26" s="594"/>
      <c r="I26" s="258"/>
      <c r="J26" s="258"/>
      <c r="K26" s="258"/>
      <c r="L26" s="251"/>
      <c r="M26" s="246"/>
      <c r="N26" s="249"/>
      <c r="O26" s="249"/>
    </row>
    <row r="27" spans="1:19" ht="124" customHeight="1">
      <c r="A27" s="246"/>
      <c r="B27" s="405"/>
      <c r="C27" s="406"/>
      <c r="D27" s="406"/>
      <c r="E27" s="406"/>
      <c r="F27" s="406"/>
      <c r="G27" s="930" t="s">
        <v>1180</v>
      </c>
      <c r="H27" s="921"/>
      <c r="I27" s="931" t="s">
        <v>467</v>
      </c>
      <c r="J27" s="932"/>
      <c r="K27" s="920" t="s">
        <v>468</v>
      </c>
      <c r="L27" s="921"/>
      <c r="M27" s="251"/>
      <c r="N27" s="249"/>
      <c r="O27" s="249"/>
      <c r="P27" s="605"/>
      <c r="Q27" s="615"/>
      <c r="R27" s="616"/>
      <c r="S27" s="605"/>
    </row>
    <row r="28" spans="1:19" ht="68.150000000000006" customHeight="1">
      <c r="A28" s="246"/>
      <c r="B28" s="412" t="s">
        <v>421</v>
      </c>
      <c r="C28" s="413"/>
      <c r="D28" s="414"/>
      <c r="E28" s="933" t="s">
        <v>422</v>
      </c>
      <c r="F28" s="934"/>
      <c r="G28" s="418" t="s">
        <v>442</v>
      </c>
      <c r="H28" s="418" t="s">
        <v>423</v>
      </c>
      <c r="I28" s="415" t="s">
        <v>443</v>
      </c>
      <c r="J28" s="469" t="s">
        <v>444</v>
      </c>
      <c r="K28" s="468" t="s">
        <v>447</v>
      </c>
      <c r="L28" s="541" t="s">
        <v>448</v>
      </c>
      <c r="M28" s="251"/>
      <c r="N28" s="249"/>
      <c r="O28" s="249"/>
      <c r="P28" s="605"/>
      <c r="Q28" s="615"/>
      <c r="R28" s="616"/>
      <c r="S28" s="605"/>
    </row>
    <row r="29" spans="1:19" ht="15">
      <c r="A29" s="246"/>
      <c r="B29" s="596" t="s">
        <v>424</v>
      </c>
      <c r="C29" s="542"/>
      <c r="D29" s="543"/>
      <c r="E29" s="935" t="s">
        <v>321</v>
      </c>
      <c r="F29" s="936"/>
      <c r="G29" s="544">
        <v>4.8</v>
      </c>
      <c r="H29" s="545">
        <v>9.6</v>
      </c>
      <c r="I29" s="546">
        <v>6.4</v>
      </c>
      <c r="J29" s="547">
        <v>12.8</v>
      </c>
      <c r="K29" s="548" t="s">
        <v>445</v>
      </c>
      <c r="L29" s="549" t="s">
        <v>446</v>
      </c>
      <c r="M29" s="251"/>
      <c r="N29" s="249"/>
      <c r="O29" s="249"/>
      <c r="P29" s="605"/>
      <c r="Q29" s="615"/>
      <c r="R29" s="616"/>
      <c r="S29" s="605"/>
    </row>
    <row r="30" spans="1:19" ht="13" customHeight="1">
      <c r="A30" s="246"/>
      <c r="B30" s="596" t="s">
        <v>425</v>
      </c>
      <c r="C30" s="542"/>
      <c r="D30" s="543"/>
      <c r="E30" s="940" t="s">
        <v>426</v>
      </c>
      <c r="F30" s="940"/>
      <c r="G30" s="544">
        <v>21.3</v>
      </c>
      <c r="H30" s="544">
        <v>38.6</v>
      </c>
      <c r="I30" s="546">
        <v>28.3</v>
      </c>
      <c r="J30" s="547">
        <v>51.4</v>
      </c>
      <c r="K30" s="550">
        <v>140</v>
      </c>
      <c r="L30" s="540">
        <v>100</v>
      </c>
      <c r="M30" s="251"/>
      <c r="N30" s="249"/>
      <c r="O30" s="249"/>
      <c r="P30" s="605"/>
      <c r="Q30" s="615"/>
      <c r="R30" s="616"/>
      <c r="S30" s="605"/>
    </row>
    <row r="31" spans="1:19">
      <c r="A31" s="246"/>
      <c r="B31" s="596" t="s">
        <v>317</v>
      </c>
      <c r="C31" s="551"/>
      <c r="D31" s="552"/>
      <c r="E31" s="940" t="s">
        <v>322</v>
      </c>
      <c r="F31" s="940"/>
      <c r="G31" s="544">
        <v>39.5</v>
      </c>
      <c r="H31" s="544">
        <v>87.8</v>
      </c>
      <c r="I31" s="546">
        <v>52.5</v>
      </c>
      <c r="J31" s="547">
        <v>116.8</v>
      </c>
      <c r="K31" s="550">
        <v>140</v>
      </c>
      <c r="L31" s="540">
        <v>140</v>
      </c>
      <c r="M31" s="251"/>
      <c r="N31" s="249"/>
      <c r="O31" s="249"/>
      <c r="P31" s="605"/>
      <c r="Q31" s="615"/>
      <c r="R31" s="616"/>
      <c r="S31" s="605"/>
    </row>
    <row r="32" spans="1:19" ht="13" customHeight="1">
      <c r="A32" s="246"/>
      <c r="B32" s="596" t="s">
        <v>318</v>
      </c>
      <c r="C32" s="551"/>
      <c r="D32" s="552"/>
      <c r="E32" s="940" t="s">
        <v>322</v>
      </c>
      <c r="F32" s="940"/>
      <c r="G32" s="544">
        <v>28</v>
      </c>
      <c r="H32" s="544">
        <v>62.3</v>
      </c>
      <c r="I32" s="546">
        <v>37.200000000000003</v>
      </c>
      <c r="J32" s="547">
        <v>82.8</v>
      </c>
      <c r="K32" s="550">
        <v>140</v>
      </c>
      <c r="L32" s="540">
        <v>140</v>
      </c>
      <c r="M32" s="251"/>
      <c r="N32" s="249"/>
      <c r="O32" s="249"/>
      <c r="P32" s="605"/>
      <c r="Q32" s="615"/>
      <c r="R32" s="616"/>
      <c r="S32" s="605"/>
    </row>
    <row r="33" spans="1:19" ht="13" customHeight="1">
      <c r="A33" s="246"/>
      <c r="B33" s="596" t="s">
        <v>319</v>
      </c>
      <c r="C33" s="542"/>
      <c r="D33" s="553"/>
      <c r="E33" s="940" t="s">
        <v>322</v>
      </c>
      <c r="F33" s="940"/>
      <c r="G33" s="544">
        <v>12.4</v>
      </c>
      <c r="H33" s="544">
        <v>49.6</v>
      </c>
      <c r="I33" s="546">
        <v>16.5</v>
      </c>
      <c r="J33" s="547">
        <v>66</v>
      </c>
      <c r="K33" s="550">
        <v>200</v>
      </c>
      <c r="L33" s="540">
        <v>180</v>
      </c>
      <c r="M33" s="251"/>
      <c r="N33" s="249"/>
      <c r="O33" s="249"/>
      <c r="P33" s="605"/>
      <c r="Q33" s="615"/>
      <c r="R33" s="616"/>
      <c r="S33" s="605"/>
    </row>
    <row r="34" spans="1:19" ht="13" customHeight="1">
      <c r="A34" s="246"/>
      <c r="B34" s="596" t="s">
        <v>320</v>
      </c>
      <c r="C34" s="542"/>
      <c r="D34" s="553"/>
      <c r="E34" s="940" t="s">
        <v>323</v>
      </c>
      <c r="F34" s="940"/>
      <c r="G34" s="544">
        <v>12.8</v>
      </c>
      <c r="H34" s="544">
        <v>42.5</v>
      </c>
      <c r="I34" s="546">
        <v>17</v>
      </c>
      <c r="J34" s="547">
        <v>56.5</v>
      </c>
      <c r="K34" s="550">
        <v>210</v>
      </c>
      <c r="L34" s="540">
        <v>220</v>
      </c>
      <c r="M34" s="251"/>
      <c r="N34" s="249"/>
      <c r="O34" s="249"/>
      <c r="P34" s="605"/>
      <c r="Q34" s="615"/>
      <c r="R34" s="616"/>
      <c r="S34" s="605"/>
    </row>
    <row r="35" spans="1:19" ht="13" customHeight="1">
      <c r="A35" s="246"/>
      <c r="B35" s="941" t="s">
        <v>427</v>
      </c>
      <c r="C35" s="554" t="s">
        <v>428</v>
      </c>
      <c r="D35" s="553"/>
      <c r="E35" s="940" t="s">
        <v>324</v>
      </c>
      <c r="F35" s="940"/>
      <c r="G35" s="544">
        <v>28.2</v>
      </c>
      <c r="H35" s="544">
        <v>73.3</v>
      </c>
      <c r="I35" s="546">
        <v>37.6</v>
      </c>
      <c r="J35" s="547">
        <v>97.7</v>
      </c>
      <c r="K35" s="922">
        <v>400</v>
      </c>
      <c r="L35" s="925">
        <v>210</v>
      </c>
      <c r="M35" s="251"/>
      <c r="N35" s="249"/>
      <c r="O35" s="249"/>
      <c r="P35" s="605"/>
      <c r="Q35" s="615"/>
      <c r="R35" s="616"/>
      <c r="S35" s="605"/>
    </row>
    <row r="36" spans="1:19" ht="13" customHeight="1">
      <c r="A36" s="246"/>
      <c r="B36" s="942"/>
      <c r="C36" s="554" t="s">
        <v>429</v>
      </c>
      <c r="D36" s="555"/>
      <c r="E36" s="940"/>
      <c r="F36" s="940"/>
      <c r="G36" s="540">
        <v>31.4</v>
      </c>
      <c r="H36" s="540">
        <v>81.400000000000006</v>
      </c>
      <c r="I36" s="546">
        <v>41.8</v>
      </c>
      <c r="J36" s="547">
        <v>108.5</v>
      </c>
      <c r="K36" s="923"/>
      <c r="L36" s="926"/>
      <c r="M36" s="251"/>
      <c r="N36" s="249"/>
      <c r="O36" s="249"/>
      <c r="P36" s="605"/>
      <c r="Q36" s="615"/>
      <c r="R36" s="616"/>
      <c r="S36" s="605"/>
    </row>
    <row r="37" spans="1:19" ht="13" customHeight="1">
      <c r="A37" s="246"/>
      <c r="B37" s="942"/>
      <c r="C37" s="556" t="s">
        <v>430</v>
      </c>
      <c r="D37" s="595"/>
      <c r="E37" s="940"/>
      <c r="F37" s="940"/>
      <c r="G37" s="540">
        <v>36.5</v>
      </c>
      <c r="H37" s="540">
        <v>94.7</v>
      </c>
      <c r="I37" s="546">
        <v>48.6</v>
      </c>
      <c r="J37" s="547">
        <v>126.2</v>
      </c>
      <c r="K37" s="923"/>
      <c r="L37" s="926"/>
      <c r="M37" s="251"/>
      <c r="N37" s="249"/>
      <c r="O37" s="249"/>
      <c r="P37" s="605"/>
      <c r="Q37" s="615"/>
      <c r="R37" s="616"/>
      <c r="S37" s="605"/>
    </row>
    <row r="38" spans="1:19" ht="13" customHeight="1">
      <c r="A38" s="246"/>
      <c r="B38" s="943"/>
      <c r="C38" s="557" t="s">
        <v>431</v>
      </c>
      <c r="D38" s="555"/>
      <c r="E38" s="940"/>
      <c r="F38" s="940"/>
      <c r="G38" s="544">
        <v>42</v>
      </c>
      <c r="H38" s="540">
        <v>108.9</v>
      </c>
      <c r="I38" s="546">
        <v>55.9</v>
      </c>
      <c r="J38" s="547">
        <v>145.1</v>
      </c>
      <c r="K38" s="924"/>
      <c r="L38" s="927"/>
      <c r="M38" s="251"/>
      <c r="N38" s="249"/>
      <c r="O38" s="249"/>
      <c r="P38" s="605"/>
      <c r="Q38" s="615"/>
      <c r="R38" s="616"/>
      <c r="S38" s="605"/>
    </row>
    <row r="39" spans="1:19" ht="13" customHeight="1">
      <c r="A39" s="246"/>
      <c r="B39" s="953" t="s">
        <v>432</v>
      </c>
      <c r="C39" s="947"/>
      <c r="D39" s="558"/>
      <c r="E39" s="940" t="s">
        <v>322</v>
      </c>
      <c r="F39" s="940"/>
      <c r="G39" s="540">
        <v>30.1</v>
      </c>
      <c r="H39" s="540">
        <v>51.7</v>
      </c>
      <c r="I39" s="251"/>
      <c r="J39" s="251"/>
      <c r="K39" s="251"/>
      <c r="L39" s="251"/>
      <c r="M39" s="251"/>
      <c r="N39" s="249"/>
      <c r="O39" s="249"/>
      <c r="P39" s="605"/>
      <c r="Q39" s="615"/>
      <c r="R39" s="616"/>
      <c r="S39" s="605"/>
    </row>
    <row r="40" spans="1:19">
      <c r="A40" s="246"/>
      <c r="B40" s="596" t="s">
        <v>433</v>
      </c>
      <c r="C40" s="590"/>
      <c r="D40" s="558"/>
      <c r="E40" s="940" t="s">
        <v>322</v>
      </c>
      <c r="F40" s="940"/>
      <c r="G40" s="540" t="s">
        <v>434</v>
      </c>
      <c r="H40" s="540">
        <v>183</v>
      </c>
      <c r="I40" s="251"/>
      <c r="J40" s="251"/>
      <c r="K40" s="251"/>
      <c r="L40" s="251"/>
      <c r="M40" s="251"/>
      <c r="N40" s="249"/>
      <c r="O40" s="249"/>
      <c r="P40" s="605"/>
      <c r="Q40" s="615"/>
      <c r="R40" s="616"/>
      <c r="S40" s="605"/>
    </row>
    <row r="41" spans="1:19">
      <c r="A41" s="246"/>
      <c r="B41" s="596" t="s">
        <v>435</v>
      </c>
      <c r="C41" s="590"/>
      <c r="D41" s="558"/>
      <c r="E41" s="940" t="s">
        <v>322</v>
      </c>
      <c r="F41" s="940"/>
      <c r="G41" s="540" t="s">
        <v>434</v>
      </c>
      <c r="H41" s="540">
        <v>196</v>
      </c>
      <c r="I41" s="251"/>
      <c r="J41" s="251"/>
      <c r="K41" s="251"/>
      <c r="L41" s="251"/>
      <c r="M41" s="251"/>
      <c r="N41" s="249"/>
      <c r="O41" s="249"/>
      <c r="P41" s="605"/>
      <c r="Q41" s="615"/>
      <c r="R41" s="616"/>
      <c r="S41" s="605"/>
    </row>
    <row r="42" spans="1:19">
      <c r="A42" s="246"/>
      <c r="B42" s="596" t="s">
        <v>436</v>
      </c>
      <c r="C42" s="590"/>
      <c r="D42" s="558"/>
      <c r="E42" s="940" t="s">
        <v>323</v>
      </c>
      <c r="F42" s="940"/>
      <c r="G42" s="540" t="s">
        <v>434</v>
      </c>
      <c r="H42" s="540">
        <v>205</v>
      </c>
      <c r="I42" s="251"/>
      <c r="J42" s="251"/>
      <c r="K42" s="251"/>
      <c r="L42" s="251"/>
      <c r="M42" s="251"/>
      <c r="N42" s="249"/>
      <c r="O42" s="249"/>
      <c r="P42" s="605"/>
      <c r="Q42" s="615"/>
      <c r="R42" s="616"/>
      <c r="S42" s="605"/>
    </row>
    <row r="43" spans="1:19" s="608" customFormat="1" ht="27.25" customHeight="1">
      <c r="A43" s="559"/>
      <c r="B43" s="946" t="s">
        <v>437</v>
      </c>
      <c r="C43" s="947"/>
      <c r="D43" s="948"/>
      <c r="E43" s="940" t="s">
        <v>322</v>
      </c>
      <c r="F43" s="940"/>
      <c r="G43" s="540" t="s">
        <v>434</v>
      </c>
      <c r="H43" s="540">
        <v>199</v>
      </c>
      <c r="I43" s="251"/>
      <c r="J43" s="251"/>
      <c r="K43" s="251"/>
      <c r="L43" s="251"/>
      <c r="M43" s="559"/>
      <c r="N43" s="595"/>
      <c r="O43" s="595"/>
    </row>
    <row r="44" spans="1:19" s="608" customFormat="1" ht="20.75" customHeight="1">
      <c r="A44" s="592"/>
      <c r="B44" s="944" t="s">
        <v>1597</v>
      </c>
      <c r="C44" s="944"/>
      <c r="D44" s="944"/>
      <c r="E44" s="944"/>
      <c r="F44" s="944"/>
      <c r="G44" s="944"/>
      <c r="H44" s="944"/>
      <c r="I44" s="944"/>
      <c r="J44" s="944"/>
      <c r="K44" s="944"/>
      <c r="L44" s="944"/>
      <c r="M44" s="592"/>
      <c r="N44" s="595"/>
      <c r="O44" s="595"/>
    </row>
    <row r="45" spans="1:19" s="608" customFormat="1" ht="20.3" customHeight="1">
      <c r="A45" s="251"/>
      <c r="B45" s="944" t="s">
        <v>1598</v>
      </c>
      <c r="C45" s="944"/>
      <c r="D45" s="944"/>
      <c r="E45" s="944"/>
      <c r="F45" s="944"/>
      <c r="G45" s="944"/>
      <c r="H45" s="944"/>
      <c r="I45" s="944"/>
      <c r="J45" s="944"/>
      <c r="K45" s="944"/>
      <c r="L45" s="944"/>
      <c r="M45" s="251"/>
      <c r="N45" s="595"/>
      <c r="O45" s="595"/>
    </row>
    <row r="46" spans="1:19" s="608" customFormat="1" ht="20.3" customHeight="1">
      <c r="A46" s="251"/>
      <c r="B46" s="944" t="s">
        <v>542</v>
      </c>
      <c r="C46" s="944"/>
      <c r="D46" s="944"/>
      <c r="E46" s="944"/>
      <c r="F46" s="944"/>
      <c r="G46" s="944"/>
      <c r="H46" s="944"/>
      <c r="I46" s="944"/>
      <c r="J46" s="944"/>
      <c r="K46" s="944"/>
      <c r="L46" s="944"/>
      <c r="M46" s="251"/>
      <c r="N46" s="595"/>
      <c r="O46" s="595"/>
    </row>
    <row r="47" spans="1:19" s="608" customFormat="1" ht="14.15" customHeight="1">
      <c r="A47" s="251"/>
      <c r="B47" s="945" t="s">
        <v>543</v>
      </c>
      <c r="C47" s="945"/>
      <c r="D47" s="945"/>
      <c r="E47" s="945"/>
      <c r="F47" s="945"/>
      <c r="G47" s="945"/>
      <c r="H47" s="945"/>
      <c r="I47" s="945"/>
      <c r="J47" s="945"/>
      <c r="K47" s="945"/>
      <c r="L47" s="945"/>
      <c r="M47" s="251"/>
      <c r="N47" s="595"/>
      <c r="O47" s="595"/>
    </row>
    <row r="48" spans="1:19" s="608" customFormat="1" ht="6.8" customHeight="1">
      <c r="A48" s="251"/>
      <c r="B48" s="593"/>
      <c r="C48" s="593"/>
      <c r="D48" s="593"/>
      <c r="E48" s="593"/>
      <c r="F48" s="593"/>
      <c r="G48" s="593"/>
      <c r="H48" s="593"/>
      <c r="I48" s="593"/>
      <c r="J48" s="593"/>
      <c r="K48" s="593"/>
      <c r="L48" s="593"/>
      <c r="M48" s="251"/>
      <c r="N48" s="595"/>
      <c r="O48" s="595"/>
    </row>
    <row r="49" spans="1:18" s="608" customFormat="1" ht="18" customHeight="1">
      <c r="A49" s="251"/>
      <c r="B49" s="928" t="s">
        <v>566</v>
      </c>
      <c r="C49" s="928"/>
      <c r="D49" s="928"/>
      <c r="E49" s="928"/>
      <c r="F49" s="928"/>
      <c r="G49" s="928"/>
      <c r="H49" s="928"/>
      <c r="I49" s="928"/>
      <c r="J49" s="928"/>
      <c r="K49" s="928"/>
      <c r="L49" s="928"/>
      <c r="M49" s="928"/>
      <c r="N49" s="928"/>
      <c r="O49" s="595"/>
    </row>
    <row r="50" spans="1:18" s="608" customFormat="1" ht="15.45" customHeight="1">
      <c r="A50" s="559"/>
      <c r="B50" s="560"/>
      <c r="C50" s="561"/>
      <c r="D50" s="561"/>
      <c r="E50" s="251"/>
      <c r="F50" s="251"/>
      <c r="G50" s="562"/>
      <c r="H50" s="562"/>
      <c r="I50" s="562"/>
      <c r="J50" s="562"/>
      <c r="K50" s="562"/>
      <c r="L50" s="563"/>
      <c r="M50" s="559"/>
      <c r="N50" s="595"/>
      <c r="O50" s="562"/>
      <c r="P50" s="621"/>
      <c r="Q50" s="614"/>
      <c r="R50" s="613"/>
    </row>
    <row r="51" spans="1:18" s="608" customFormat="1">
      <c r="A51" s="559"/>
      <c r="B51" s="560"/>
      <c r="C51" s="562"/>
      <c r="D51" s="564"/>
      <c r="E51" s="561"/>
      <c r="F51" s="251"/>
      <c r="G51" s="562"/>
      <c r="H51" s="562"/>
      <c r="I51" s="562"/>
      <c r="J51" s="562"/>
      <c r="K51" s="562"/>
      <c r="L51" s="563"/>
      <c r="M51" s="559"/>
      <c r="N51" s="595"/>
      <c r="O51" s="562"/>
      <c r="P51" s="621"/>
      <c r="Q51" s="614"/>
      <c r="R51" s="613"/>
    </row>
    <row r="52" spans="1:18" s="608" customFormat="1">
      <c r="A52" s="559"/>
      <c r="B52" s="560"/>
      <c r="C52" s="251"/>
      <c r="D52" s="564"/>
      <c r="E52" s="561"/>
      <c r="F52" s="251"/>
      <c r="G52" s="562"/>
      <c r="H52" s="562"/>
      <c r="I52" s="562"/>
      <c r="J52" s="562"/>
      <c r="K52" s="562"/>
      <c r="L52" s="563"/>
      <c r="M52" s="559"/>
      <c r="N52" s="595"/>
      <c r="O52" s="562"/>
      <c r="P52" s="621"/>
      <c r="Q52" s="614"/>
      <c r="R52" s="613"/>
    </row>
    <row r="53" spans="1:18" s="608" customFormat="1">
      <c r="A53" s="559"/>
      <c r="B53" s="560"/>
      <c r="C53" s="251"/>
      <c r="D53" s="565"/>
      <c r="E53" s="561"/>
      <c r="F53" s="251"/>
      <c r="G53" s="562"/>
      <c r="H53" s="562"/>
      <c r="I53" s="562"/>
      <c r="J53" s="562"/>
      <c r="K53" s="562"/>
      <c r="L53" s="563"/>
      <c r="M53" s="559"/>
      <c r="N53" s="595"/>
      <c r="O53" s="562"/>
      <c r="P53" s="621"/>
      <c r="Q53" s="614"/>
      <c r="R53" s="613"/>
    </row>
    <row r="54" spans="1:18" s="608" customFormat="1">
      <c r="A54" s="559"/>
      <c r="B54" s="560"/>
      <c r="C54" s="251"/>
      <c r="D54" s="565"/>
      <c r="E54" s="561"/>
      <c r="F54" s="251"/>
      <c r="G54" s="562"/>
      <c r="H54" s="562"/>
      <c r="I54" s="562"/>
      <c r="J54" s="562"/>
      <c r="K54" s="562"/>
      <c r="L54" s="563"/>
      <c r="M54" s="559"/>
      <c r="N54" s="595"/>
      <c r="O54" s="562"/>
      <c r="P54" s="621"/>
      <c r="Q54" s="614"/>
      <c r="R54" s="613"/>
    </row>
    <row r="55" spans="1:18" s="608" customFormat="1" ht="13" customHeight="1">
      <c r="A55" s="559"/>
      <c r="B55" s="560"/>
      <c r="C55" s="251"/>
      <c r="D55" s="564"/>
      <c r="E55" s="561"/>
      <c r="F55" s="251"/>
      <c r="G55" s="562"/>
      <c r="H55" s="562"/>
      <c r="I55" s="562"/>
      <c r="J55" s="562"/>
      <c r="K55" s="562"/>
      <c r="L55" s="563"/>
      <c r="M55" s="559"/>
      <c r="N55" s="595"/>
      <c r="O55" s="562"/>
      <c r="P55" s="621"/>
      <c r="Q55" s="614"/>
      <c r="R55" s="613"/>
    </row>
    <row r="56" spans="1:18" s="608" customFormat="1">
      <c r="A56" s="559"/>
      <c r="B56" s="560"/>
      <c r="C56" s="251"/>
      <c r="D56" s="564"/>
      <c r="E56" s="561"/>
      <c r="F56" s="251"/>
      <c r="G56" s="562"/>
      <c r="H56" s="562"/>
      <c r="I56" s="562"/>
      <c r="J56" s="562"/>
      <c r="K56" s="562"/>
      <c r="L56" s="563"/>
      <c r="M56" s="559"/>
      <c r="N56" s="595"/>
      <c r="O56" s="562"/>
      <c r="P56" s="621"/>
      <c r="Q56" s="614"/>
      <c r="R56" s="613"/>
    </row>
    <row r="57" spans="1:18" s="608" customFormat="1">
      <c r="A57" s="559"/>
      <c r="B57" s="560"/>
      <c r="C57" s="251"/>
      <c r="D57" s="561"/>
      <c r="E57" s="561"/>
      <c r="F57" s="251"/>
      <c r="G57" s="562"/>
      <c r="H57" s="562"/>
      <c r="I57" s="562"/>
      <c r="J57" s="562"/>
      <c r="K57" s="562"/>
      <c r="L57" s="563"/>
      <c r="M57" s="559"/>
      <c r="N57" s="595"/>
      <c r="O57" s="562"/>
      <c r="P57" s="621"/>
      <c r="Q57" s="614"/>
      <c r="R57" s="613"/>
    </row>
    <row r="58" spans="1:18" s="608" customFormat="1">
      <c r="A58" s="559"/>
      <c r="B58" s="560"/>
      <c r="C58" s="251"/>
      <c r="D58" s="561"/>
      <c r="E58" s="561"/>
      <c r="F58" s="251"/>
      <c r="G58" s="562"/>
      <c r="H58" s="562"/>
      <c r="I58" s="562"/>
      <c r="J58" s="562"/>
      <c r="K58" s="562"/>
      <c r="L58" s="563"/>
      <c r="M58" s="559"/>
      <c r="N58" s="595"/>
      <c r="O58" s="562"/>
      <c r="P58" s="621"/>
      <c r="Q58" s="614"/>
      <c r="R58" s="613"/>
    </row>
    <row r="59" spans="1:18" s="608" customFormat="1">
      <c r="A59" s="559"/>
      <c r="B59" s="560"/>
      <c r="C59" s="251"/>
      <c r="D59" s="561"/>
      <c r="E59" s="561"/>
      <c r="F59" s="251"/>
      <c r="G59" s="562"/>
      <c r="H59" s="562"/>
      <c r="I59" s="562"/>
      <c r="J59" s="562"/>
      <c r="K59" s="562"/>
      <c r="L59" s="563"/>
      <c r="M59" s="559"/>
      <c r="N59" s="595"/>
      <c r="O59" s="562"/>
      <c r="P59" s="621"/>
      <c r="Q59" s="614"/>
      <c r="R59" s="613"/>
    </row>
    <row r="60" spans="1:18" s="608" customFormat="1">
      <c r="A60" s="559"/>
      <c r="B60" s="560"/>
      <c r="C60" s="251"/>
      <c r="D60" s="561"/>
      <c r="E60" s="561"/>
      <c r="F60" s="251"/>
      <c r="G60" s="562"/>
      <c r="H60" s="562"/>
      <c r="I60" s="562"/>
      <c r="J60" s="562"/>
      <c r="K60" s="562"/>
      <c r="L60" s="563"/>
      <c r="M60" s="559"/>
      <c r="N60" s="595"/>
      <c r="O60" s="562"/>
      <c r="P60" s="621"/>
      <c r="Q60" s="614"/>
      <c r="R60" s="613"/>
    </row>
    <row r="61" spans="1:18" s="608" customFormat="1">
      <c r="A61" s="559"/>
      <c r="B61" s="560"/>
      <c r="C61" s="254"/>
      <c r="D61" s="564"/>
      <c r="E61" s="561"/>
      <c r="F61" s="251"/>
      <c r="G61" s="562"/>
      <c r="H61" s="562"/>
      <c r="I61" s="562"/>
      <c r="J61" s="562"/>
      <c r="K61" s="562"/>
      <c r="L61" s="563"/>
      <c r="M61" s="559"/>
      <c r="N61" s="595"/>
      <c r="O61" s="562"/>
      <c r="P61" s="621"/>
      <c r="Q61" s="614"/>
      <c r="R61" s="613"/>
    </row>
    <row r="62" spans="1:18" s="608" customFormat="1">
      <c r="A62" s="559"/>
      <c r="B62" s="560"/>
      <c r="C62" s="562"/>
      <c r="D62" s="564"/>
      <c r="E62" s="561"/>
      <c r="F62" s="251"/>
      <c r="G62" s="562"/>
      <c r="H62" s="562"/>
      <c r="I62" s="562"/>
      <c r="J62" s="562"/>
      <c r="K62" s="562"/>
      <c r="L62" s="563"/>
      <c r="M62" s="559"/>
      <c r="N62" s="595"/>
      <c r="O62" s="562"/>
      <c r="P62" s="621"/>
      <c r="Q62" s="614"/>
      <c r="R62" s="613"/>
    </row>
    <row r="63" spans="1:18" s="608" customFormat="1">
      <c r="A63" s="559"/>
      <c r="B63" s="251"/>
      <c r="C63" s="566"/>
      <c r="D63" s="567"/>
      <c r="E63" s="592"/>
      <c r="F63" s="254"/>
      <c r="G63" s="295"/>
      <c r="H63" s="562"/>
      <c r="I63" s="562"/>
      <c r="J63" s="562"/>
      <c r="K63" s="562"/>
      <c r="L63" s="563"/>
      <c r="M63" s="559"/>
      <c r="N63" s="595"/>
      <c r="O63" s="562"/>
      <c r="P63" s="621"/>
      <c r="Q63" s="614"/>
      <c r="R63" s="613"/>
    </row>
    <row r="64" spans="1:18" s="608" customFormat="1">
      <c r="A64" s="559"/>
      <c r="B64" s="568"/>
      <c r="C64" s="568"/>
      <c r="D64" s="568"/>
      <c r="E64" s="568"/>
      <c r="F64" s="568"/>
      <c r="G64" s="568"/>
      <c r="H64" s="568"/>
      <c r="I64" s="568"/>
      <c r="J64" s="568"/>
      <c r="K64" s="568"/>
      <c r="L64" s="568"/>
      <c r="M64" s="559"/>
      <c r="N64" s="595"/>
      <c r="O64" s="595"/>
    </row>
    <row r="65" spans="1:18" s="608" customFormat="1">
      <c r="A65" s="559"/>
      <c r="B65" s="560"/>
      <c r="C65" s="561"/>
      <c r="D65" s="561"/>
      <c r="E65" s="251"/>
      <c r="F65" s="251"/>
      <c r="G65" s="562"/>
      <c r="H65" s="562"/>
      <c r="I65" s="562"/>
      <c r="J65" s="562"/>
      <c r="K65" s="562"/>
      <c r="L65" s="563"/>
      <c r="M65" s="559"/>
      <c r="N65" s="595"/>
      <c r="O65" s="562"/>
      <c r="P65" s="621"/>
      <c r="Q65" s="614"/>
      <c r="R65" s="613"/>
    </row>
    <row r="66" spans="1:18" s="608" customFormat="1">
      <c r="A66" s="559"/>
      <c r="B66" s="251"/>
      <c r="C66" s="562"/>
      <c r="D66" s="258"/>
      <c r="E66" s="561"/>
      <c r="F66" s="251"/>
      <c r="G66" s="562"/>
      <c r="H66" s="562"/>
      <c r="I66" s="562"/>
      <c r="J66" s="562"/>
      <c r="K66" s="562"/>
      <c r="L66" s="563"/>
      <c r="M66" s="559"/>
      <c r="N66" s="595"/>
      <c r="O66" s="562"/>
      <c r="P66" s="621"/>
      <c r="Q66" s="614"/>
      <c r="R66" s="613"/>
    </row>
    <row r="67" spans="1:18" s="608" customFormat="1">
      <c r="A67" s="559"/>
      <c r="B67" s="251"/>
      <c r="C67" s="562"/>
      <c r="D67" s="561"/>
      <c r="E67" s="561"/>
      <c r="F67" s="251"/>
      <c r="G67" s="562"/>
      <c r="H67" s="562"/>
      <c r="I67" s="562"/>
      <c r="J67" s="562"/>
      <c r="K67" s="562"/>
      <c r="L67" s="563"/>
      <c r="M67" s="559"/>
      <c r="N67" s="595"/>
      <c r="O67" s="562"/>
      <c r="P67" s="621"/>
      <c r="Q67" s="614"/>
      <c r="R67" s="613"/>
    </row>
    <row r="68" spans="1:18" s="608" customFormat="1">
      <c r="A68" s="559"/>
      <c r="B68" s="251"/>
      <c r="C68" s="562"/>
      <c r="D68" s="561"/>
      <c r="E68" s="561"/>
      <c r="F68" s="251"/>
      <c r="G68" s="562"/>
      <c r="H68" s="562"/>
      <c r="I68" s="562"/>
      <c r="J68" s="562"/>
      <c r="K68" s="562"/>
      <c r="L68" s="563"/>
      <c r="M68" s="559"/>
      <c r="N68" s="595"/>
      <c r="O68" s="562"/>
      <c r="P68" s="621"/>
      <c r="Q68" s="614"/>
      <c r="R68" s="613"/>
    </row>
    <row r="69" spans="1:18" s="608" customFormat="1">
      <c r="A69" s="559"/>
      <c r="B69" s="251"/>
      <c r="C69" s="569"/>
      <c r="D69" s="564"/>
      <c r="E69" s="561"/>
      <c r="F69" s="251"/>
      <c r="G69" s="562"/>
      <c r="H69" s="562"/>
      <c r="I69" s="562"/>
      <c r="J69" s="562"/>
      <c r="K69" s="562"/>
      <c r="L69" s="563"/>
      <c r="M69" s="559"/>
      <c r="N69" s="595"/>
      <c r="O69" s="562"/>
      <c r="P69" s="621"/>
      <c r="Q69" s="614"/>
      <c r="R69" s="613"/>
    </row>
    <row r="70" spans="1:18" s="608" customFormat="1">
      <c r="A70" s="559"/>
      <c r="B70" s="251"/>
      <c r="C70" s="569"/>
      <c r="D70" s="564"/>
      <c r="E70" s="561"/>
      <c r="F70" s="251"/>
      <c r="G70" s="562"/>
      <c r="H70" s="562"/>
      <c r="I70" s="562"/>
      <c r="J70" s="562"/>
      <c r="K70" s="562"/>
      <c r="L70" s="563"/>
      <c r="M70" s="559"/>
      <c r="N70" s="595"/>
      <c r="O70" s="562"/>
      <c r="P70" s="621"/>
      <c r="Q70" s="614"/>
      <c r="R70" s="613"/>
    </row>
    <row r="71" spans="1:18" s="608" customFormat="1">
      <c r="A71" s="559"/>
      <c r="B71" s="251"/>
      <c r="C71" s="569"/>
      <c r="D71" s="564"/>
      <c r="E71" s="561"/>
      <c r="F71" s="251"/>
      <c r="G71" s="562"/>
      <c r="H71" s="562"/>
      <c r="I71" s="562"/>
      <c r="J71" s="562"/>
      <c r="K71" s="562"/>
      <c r="L71" s="563"/>
      <c r="M71" s="559"/>
      <c r="N71" s="595"/>
      <c r="O71" s="562"/>
      <c r="P71" s="621"/>
      <c r="Q71" s="614"/>
      <c r="R71" s="613"/>
    </row>
    <row r="72" spans="1:18" s="608" customFormat="1">
      <c r="A72" s="559"/>
      <c r="B72" s="251"/>
      <c r="C72" s="562"/>
      <c r="D72" s="258"/>
      <c r="E72" s="561"/>
      <c r="F72" s="251"/>
      <c r="G72" s="562"/>
      <c r="H72" s="562"/>
      <c r="I72" s="562"/>
      <c r="J72" s="562"/>
      <c r="K72" s="562"/>
      <c r="L72" s="563"/>
      <c r="M72" s="559"/>
      <c r="N72" s="595"/>
      <c r="O72" s="570"/>
      <c r="P72" s="617"/>
      <c r="Q72" s="614"/>
      <c r="R72" s="629"/>
    </row>
    <row r="73" spans="1:18" s="608" customFormat="1">
      <c r="A73" s="559"/>
      <c r="B73" s="251"/>
      <c r="C73" s="251"/>
      <c r="D73" s="564"/>
      <c r="E73" s="561"/>
      <c r="F73" s="251"/>
      <c r="G73" s="562"/>
      <c r="H73" s="562"/>
      <c r="I73" s="562"/>
      <c r="J73" s="562"/>
      <c r="K73" s="562"/>
      <c r="L73" s="563"/>
      <c r="M73" s="559"/>
      <c r="N73" s="595"/>
      <c r="O73" s="570"/>
      <c r="P73" s="617"/>
      <c r="Q73" s="614"/>
      <c r="R73" s="629"/>
    </row>
    <row r="74" spans="1:18" s="608" customFormat="1">
      <c r="A74" s="559"/>
      <c r="B74" s="251"/>
      <c r="C74" s="562"/>
      <c r="D74" s="258"/>
      <c r="E74" s="561"/>
      <c r="F74" s="251"/>
      <c r="G74" s="562"/>
      <c r="H74" s="562"/>
      <c r="I74" s="562"/>
      <c r="J74" s="562"/>
      <c r="K74" s="562"/>
      <c r="L74" s="563"/>
      <c r="M74" s="559"/>
      <c r="N74" s="595"/>
      <c r="O74" s="570"/>
      <c r="P74" s="617"/>
      <c r="Q74" s="614"/>
      <c r="R74" s="629"/>
    </row>
    <row r="75" spans="1:18" s="608" customFormat="1">
      <c r="A75" s="559"/>
      <c r="B75" s="251"/>
      <c r="C75" s="562"/>
      <c r="D75" s="564"/>
      <c r="E75" s="561"/>
      <c r="F75" s="251"/>
      <c r="G75" s="562"/>
      <c r="H75" s="562"/>
      <c r="I75" s="562"/>
      <c r="J75" s="562"/>
      <c r="K75" s="562"/>
      <c r="L75" s="563"/>
      <c r="M75" s="559"/>
      <c r="N75" s="595"/>
      <c r="O75" s="570"/>
      <c r="P75" s="617"/>
      <c r="Q75" s="614"/>
      <c r="R75" s="629"/>
    </row>
    <row r="76" spans="1:18" s="608" customFormat="1">
      <c r="A76" s="559"/>
      <c r="B76" s="251"/>
      <c r="C76" s="566"/>
      <c r="D76" s="567"/>
      <c r="E76" s="592"/>
      <c r="F76" s="254"/>
      <c r="G76" s="295"/>
      <c r="H76" s="562"/>
      <c r="I76" s="562"/>
      <c r="J76" s="562"/>
      <c r="K76" s="562"/>
      <c r="L76" s="563"/>
      <c r="M76" s="559"/>
      <c r="N76" s="595"/>
      <c r="O76" s="562"/>
      <c r="P76" s="621"/>
      <c r="Q76" s="614"/>
      <c r="R76" s="613"/>
    </row>
    <row r="77" spans="1:18" s="608" customFormat="1">
      <c r="A77" s="251"/>
      <c r="B77" s="592"/>
      <c r="C77" s="592"/>
      <c r="D77" s="592"/>
      <c r="E77" s="592"/>
      <c r="F77" s="592"/>
      <c r="G77" s="592"/>
      <c r="H77" s="592"/>
      <c r="I77" s="592"/>
      <c r="J77" s="592"/>
      <c r="K77" s="592"/>
      <c r="L77" s="592"/>
      <c r="M77" s="251"/>
      <c r="N77" s="595"/>
      <c r="O77" s="595"/>
    </row>
    <row r="78" spans="1:18" s="608" customFormat="1">
      <c r="A78" s="939"/>
      <c r="B78" s="939"/>
      <c r="C78" s="939"/>
      <c r="D78" s="939"/>
      <c r="E78" s="939"/>
      <c r="F78" s="939"/>
      <c r="G78" s="939"/>
      <c r="H78" s="939"/>
      <c r="I78" s="939"/>
      <c r="J78" s="939"/>
      <c r="K78" s="939"/>
      <c r="L78" s="939"/>
      <c r="M78" s="939"/>
      <c r="N78" s="595"/>
      <c r="O78" s="562"/>
      <c r="P78" s="621"/>
      <c r="Q78" s="614"/>
      <c r="R78" s="613"/>
    </row>
    <row r="79" spans="1:18" s="608" customFormat="1">
      <c r="A79" s="562"/>
      <c r="B79" s="571"/>
      <c r="C79" s="572"/>
      <c r="D79" s="562"/>
      <c r="E79" s="562"/>
      <c r="F79" s="562"/>
      <c r="G79" s="562"/>
      <c r="H79" s="562"/>
      <c r="I79" s="562"/>
      <c r="J79" s="562"/>
      <c r="K79" s="562"/>
      <c r="L79" s="562"/>
      <c r="M79" s="562"/>
      <c r="N79" s="595"/>
      <c r="O79" s="562"/>
      <c r="P79" s="621"/>
      <c r="Q79" s="614"/>
      <c r="R79" s="613"/>
    </row>
    <row r="80" spans="1:18" s="608" customFormat="1">
      <c r="A80" s="562"/>
      <c r="B80" s="251"/>
      <c r="C80" s="562"/>
      <c r="D80" s="258"/>
      <c r="E80" s="561"/>
      <c r="F80" s="251"/>
      <c r="G80" s="562"/>
      <c r="H80" s="562"/>
      <c r="I80" s="562"/>
      <c r="J80" s="562"/>
      <c r="K80" s="562"/>
      <c r="L80" s="562"/>
      <c r="M80" s="562"/>
      <c r="N80" s="595"/>
      <c r="O80" s="562"/>
      <c r="P80" s="621"/>
      <c r="Q80" s="614"/>
      <c r="R80" s="613"/>
    </row>
    <row r="81" spans="1:18" s="608" customFormat="1">
      <c r="A81" s="562"/>
      <c r="B81" s="251"/>
      <c r="C81" s="251"/>
      <c r="D81" s="564"/>
      <c r="E81" s="561"/>
      <c r="F81" s="251"/>
      <c r="G81" s="562"/>
      <c r="H81" s="562"/>
      <c r="I81" s="562"/>
      <c r="J81" s="562"/>
      <c r="K81" s="562"/>
      <c r="L81" s="562"/>
      <c r="M81" s="562"/>
      <c r="N81" s="595"/>
      <c r="O81" s="562"/>
      <c r="P81" s="621"/>
      <c r="Q81" s="614"/>
      <c r="R81" s="613"/>
    </row>
    <row r="82" spans="1:18" s="608" customFormat="1">
      <c r="A82" s="562"/>
      <c r="B82" s="251"/>
      <c r="C82" s="562"/>
      <c r="D82" s="564"/>
      <c r="E82" s="561"/>
      <c r="F82" s="251"/>
      <c r="G82" s="562"/>
      <c r="H82" s="562"/>
      <c r="I82" s="562"/>
      <c r="J82" s="562"/>
      <c r="K82" s="562"/>
      <c r="L82" s="562"/>
      <c r="M82" s="562"/>
      <c r="N82" s="595"/>
      <c r="O82" s="562"/>
      <c r="P82" s="621"/>
      <c r="Q82" s="614"/>
      <c r="R82" s="613"/>
    </row>
    <row r="83" spans="1:18" s="608" customFormat="1">
      <c r="A83" s="562"/>
      <c r="B83" s="251"/>
      <c r="C83" s="562"/>
      <c r="D83" s="564"/>
      <c r="E83" s="561"/>
      <c r="F83" s="251"/>
      <c r="G83" s="562"/>
      <c r="H83" s="562"/>
      <c r="I83" s="562"/>
      <c r="J83" s="562"/>
      <c r="K83" s="562"/>
      <c r="L83" s="562"/>
      <c r="M83" s="562"/>
      <c r="N83" s="595"/>
      <c r="O83" s="562"/>
      <c r="P83" s="621"/>
      <c r="Q83" s="614"/>
      <c r="R83" s="613"/>
    </row>
    <row r="84" spans="1:18" s="608" customFormat="1">
      <c r="A84" s="562"/>
      <c r="B84" s="251"/>
      <c r="C84" s="566"/>
      <c r="D84" s="567"/>
      <c r="E84" s="592"/>
      <c r="F84" s="254"/>
      <c r="G84" s="295"/>
      <c r="H84" s="562"/>
      <c r="I84" s="562"/>
      <c r="J84" s="562"/>
      <c r="K84" s="562"/>
      <c r="L84" s="562"/>
      <c r="M84" s="562"/>
      <c r="N84" s="595"/>
      <c r="O84" s="562"/>
      <c r="P84" s="621"/>
      <c r="Q84" s="614"/>
      <c r="R84" s="613"/>
    </row>
    <row r="85" spans="1:18" s="608" customFormat="1">
      <c r="A85" s="251"/>
      <c r="B85" s="592"/>
      <c r="C85" s="592"/>
      <c r="D85" s="592"/>
      <c r="E85" s="592"/>
      <c r="F85" s="592"/>
      <c r="G85" s="592"/>
      <c r="H85" s="592"/>
      <c r="I85" s="592"/>
      <c r="J85" s="592"/>
      <c r="K85" s="592"/>
      <c r="L85" s="592"/>
      <c r="M85" s="251"/>
      <c r="N85" s="595"/>
      <c r="O85" s="595"/>
    </row>
    <row r="86" spans="1:18" s="608" customFormat="1">
      <c r="A86" s="562"/>
      <c r="B86" s="560"/>
      <c r="C86" s="251"/>
      <c r="D86" s="251"/>
      <c r="E86" s="251"/>
      <c r="F86" s="562"/>
      <c r="G86" s="562"/>
      <c r="H86" s="562"/>
      <c r="I86" s="562"/>
      <c r="J86" s="562"/>
      <c r="K86" s="562"/>
      <c r="L86" s="562"/>
      <c r="M86" s="563"/>
      <c r="N86" s="595"/>
      <c r="O86" s="562"/>
      <c r="P86" s="621"/>
      <c r="Q86" s="614"/>
      <c r="R86" s="613"/>
    </row>
    <row r="87" spans="1:18" s="608" customFormat="1">
      <c r="A87" s="562"/>
      <c r="B87" s="251"/>
      <c r="C87" s="251"/>
      <c r="D87" s="258"/>
      <c r="E87" s="561"/>
      <c r="F87" s="251"/>
      <c r="G87" s="251"/>
      <c r="H87" s="562"/>
      <c r="I87" s="562"/>
      <c r="J87" s="562"/>
      <c r="K87" s="562"/>
      <c r="L87" s="562"/>
      <c r="M87" s="563"/>
      <c r="N87" s="595"/>
      <c r="O87" s="595"/>
      <c r="P87" s="624"/>
      <c r="Q87" s="613"/>
      <c r="R87" s="613"/>
    </row>
    <row r="88" spans="1:18" s="608" customFormat="1">
      <c r="A88" s="251"/>
      <c r="B88" s="251"/>
      <c r="C88" s="562"/>
      <c r="D88" s="258"/>
      <c r="E88" s="561"/>
      <c r="F88" s="251"/>
      <c r="G88" s="251"/>
      <c r="H88" s="573"/>
      <c r="I88" s="573"/>
      <c r="J88" s="573"/>
      <c r="K88" s="573"/>
      <c r="L88" s="573"/>
      <c r="M88" s="559"/>
      <c r="N88" s="595"/>
      <c r="O88" s="595"/>
    </row>
    <row r="89" spans="1:18" s="608" customFormat="1">
      <c r="A89" s="251"/>
      <c r="B89" s="251"/>
      <c r="C89" s="251"/>
      <c r="D89" s="564"/>
      <c r="E89" s="561"/>
      <c r="F89" s="251"/>
      <c r="G89" s="251"/>
      <c r="H89" s="562"/>
      <c r="I89" s="258"/>
      <c r="J89" s="258"/>
      <c r="K89" s="258"/>
      <c r="L89" s="251"/>
      <c r="M89" s="559"/>
      <c r="N89" s="595"/>
      <c r="O89" s="595"/>
    </row>
    <row r="90" spans="1:18" s="608" customFormat="1">
      <c r="A90" s="251"/>
      <c r="B90" s="251"/>
      <c r="C90" s="251"/>
      <c r="D90" s="258"/>
      <c r="E90" s="561"/>
      <c r="F90" s="251"/>
      <c r="G90" s="562"/>
      <c r="H90" s="562"/>
      <c r="I90" s="258"/>
      <c r="J90" s="258"/>
      <c r="K90" s="258"/>
      <c r="L90" s="251"/>
      <c r="M90" s="559"/>
      <c r="N90" s="595"/>
      <c r="O90" s="595"/>
    </row>
    <row r="91" spans="1:18" s="608" customFormat="1">
      <c r="A91" s="251"/>
      <c r="B91" s="251"/>
      <c r="C91" s="562"/>
      <c r="D91" s="258"/>
      <c r="E91" s="561"/>
      <c r="F91" s="251"/>
      <c r="G91" s="562"/>
      <c r="H91" s="562"/>
      <c r="I91" s="258"/>
      <c r="J91" s="258"/>
      <c r="K91" s="258"/>
      <c r="L91" s="251"/>
      <c r="M91" s="559"/>
      <c r="N91" s="595"/>
      <c r="O91" s="595"/>
    </row>
    <row r="92" spans="1:18" s="608" customFormat="1">
      <c r="A92" s="251"/>
      <c r="B92" s="251"/>
      <c r="C92" s="566"/>
      <c r="D92" s="567"/>
      <c r="E92" s="592"/>
      <c r="F92" s="254"/>
      <c r="G92" s="295"/>
      <c r="H92" s="562"/>
      <c r="I92" s="258"/>
      <c r="J92" s="258"/>
      <c r="K92" s="258"/>
      <c r="L92" s="251"/>
      <c r="M92" s="559"/>
      <c r="N92" s="595"/>
      <c r="O92" s="595"/>
    </row>
    <row r="93" spans="1:18" s="608" customFormat="1">
      <c r="A93" s="251"/>
      <c r="B93" s="592"/>
      <c r="C93" s="592"/>
      <c r="D93" s="592"/>
      <c r="E93" s="592"/>
      <c r="F93" s="592"/>
      <c r="G93" s="592"/>
      <c r="H93" s="592"/>
      <c r="I93" s="592"/>
      <c r="J93" s="592"/>
      <c r="K93" s="592"/>
      <c r="L93" s="592"/>
      <c r="M93" s="559"/>
      <c r="N93" s="595"/>
      <c r="O93" s="595"/>
    </row>
    <row r="94" spans="1:18" s="608" customFormat="1">
      <c r="A94" s="939"/>
      <c r="B94" s="939"/>
      <c r="C94" s="939"/>
      <c r="D94" s="939"/>
      <c r="E94" s="939"/>
      <c r="F94" s="939"/>
      <c r="G94" s="939"/>
      <c r="H94" s="939"/>
      <c r="I94" s="939"/>
      <c r="J94" s="939"/>
      <c r="K94" s="939"/>
      <c r="L94" s="939"/>
      <c r="M94" s="939"/>
      <c r="N94" s="595"/>
      <c r="O94" s="595"/>
    </row>
    <row r="95" spans="1:18" s="608" customFormat="1">
      <c r="A95" s="251"/>
      <c r="B95" s="251"/>
      <c r="C95" s="569"/>
      <c r="D95" s="258"/>
      <c r="E95" s="561"/>
      <c r="F95" s="251"/>
      <c r="G95" s="562"/>
      <c r="H95" s="565"/>
      <c r="I95" s="251"/>
      <c r="J95" s="251"/>
      <c r="K95" s="251"/>
      <c r="L95" s="251"/>
      <c r="M95" s="251"/>
      <c r="N95" s="595"/>
      <c r="O95" s="595"/>
    </row>
    <row r="96" spans="1:18" s="608" customFormat="1">
      <c r="A96" s="251"/>
      <c r="B96" s="251"/>
      <c r="C96" s="569"/>
      <c r="D96" s="564"/>
      <c r="E96" s="561"/>
      <c r="F96" s="251"/>
      <c r="G96" s="562"/>
      <c r="H96" s="565"/>
      <c r="I96" s="251"/>
      <c r="J96" s="251"/>
      <c r="K96" s="251"/>
      <c r="L96" s="251"/>
      <c r="M96" s="251"/>
      <c r="N96" s="595"/>
      <c r="O96" s="595"/>
    </row>
    <row r="97" spans="1:15" s="608" customFormat="1" ht="157" customHeight="1">
      <c r="A97" s="251"/>
      <c r="B97" s="251"/>
      <c r="C97" s="569"/>
      <c r="D97" s="564"/>
      <c r="E97" s="561"/>
      <c r="F97" s="251"/>
      <c r="G97" s="562"/>
      <c r="H97" s="565"/>
      <c r="I97" s="251"/>
      <c r="J97" s="251"/>
      <c r="K97" s="251"/>
      <c r="L97" s="251"/>
      <c r="M97" s="251"/>
      <c r="N97" s="595"/>
      <c r="O97" s="595"/>
    </row>
    <row r="98" spans="1:15" s="608" customFormat="1" ht="22.75" customHeight="1">
      <c r="A98" s="251"/>
      <c r="B98" s="251"/>
      <c r="C98" s="569"/>
      <c r="D98" s="258"/>
      <c r="E98" s="561"/>
      <c r="F98" s="251"/>
      <c r="G98" s="251"/>
      <c r="H98" s="565"/>
      <c r="I98" s="251"/>
      <c r="J98" s="251"/>
      <c r="K98" s="251"/>
      <c r="L98" s="251"/>
      <c r="M98" s="251"/>
      <c r="N98" s="595"/>
      <c r="O98" s="595"/>
    </row>
    <row r="99" spans="1:15" s="608" customFormat="1" ht="160.69999999999999" customHeight="1">
      <c r="A99" s="251"/>
      <c r="B99" s="251"/>
      <c r="C99" s="566"/>
      <c r="D99" s="567"/>
      <c r="E99" s="592"/>
      <c r="F99" s="254"/>
      <c r="G99" s="254"/>
      <c r="H99" s="565"/>
      <c r="I99" s="251"/>
      <c r="J99" s="251"/>
      <c r="K99" s="251"/>
      <c r="L99" s="251"/>
      <c r="M99" s="251"/>
      <c r="N99" s="595"/>
      <c r="O99" s="595"/>
    </row>
    <row r="100" spans="1:15" s="608" customFormat="1" ht="409.55" customHeight="1">
      <c r="A100" s="559"/>
      <c r="B100" s="559"/>
      <c r="C100" s="574"/>
      <c r="D100" s="575"/>
      <c r="E100" s="576"/>
      <c r="F100" s="559"/>
      <c r="G100" s="563"/>
      <c r="H100" s="577"/>
      <c r="I100" s="559"/>
      <c r="J100" s="559"/>
      <c r="K100" s="559"/>
      <c r="L100" s="559"/>
      <c r="M100" s="559"/>
      <c r="N100" s="595"/>
      <c r="O100" s="595"/>
    </row>
    <row r="101" spans="1:15" s="608" customFormat="1" ht="167.5" customHeight="1">
      <c r="A101" s="938"/>
      <c r="B101" s="938"/>
      <c r="C101" s="938"/>
      <c r="D101" s="938"/>
      <c r="E101" s="938"/>
      <c r="F101" s="938"/>
      <c r="G101" s="938"/>
      <c r="H101" s="938"/>
      <c r="I101" s="938"/>
      <c r="J101" s="938"/>
      <c r="K101" s="938"/>
      <c r="L101" s="938"/>
      <c r="M101" s="938"/>
      <c r="N101" s="595"/>
      <c r="O101" s="595"/>
    </row>
    <row r="102" spans="1:15" s="608" customFormat="1" ht="45.25" customHeight="1">
      <c r="A102" s="559"/>
      <c r="B102" s="568"/>
      <c r="C102" s="568"/>
      <c r="D102" s="568"/>
      <c r="E102" s="568"/>
      <c r="F102" s="568"/>
      <c r="G102" s="568"/>
      <c r="H102" s="568"/>
      <c r="I102" s="568"/>
      <c r="J102" s="568"/>
      <c r="K102" s="568"/>
      <c r="L102" s="568"/>
      <c r="M102" s="559"/>
      <c r="N102" s="595"/>
      <c r="O102" s="595"/>
    </row>
    <row r="103" spans="1:15" s="608" customFormat="1">
      <c r="A103" s="939"/>
      <c r="B103" s="939"/>
      <c r="C103" s="939"/>
      <c r="D103" s="939"/>
      <c r="E103" s="939"/>
      <c r="F103" s="939"/>
      <c r="G103" s="939"/>
      <c r="H103" s="939"/>
      <c r="I103" s="939"/>
      <c r="J103" s="939"/>
      <c r="K103" s="939"/>
      <c r="L103" s="939"/>
      <c r="M103" s="939"/>
      <c r="N103" s="595"/>
      <c r="O103" s="595"/>
    </row>
    <row r="104" spans="1:15" s="608" customFormat="1">
      <c r="A104" s="251"/>
      <c r="B104" s="573"/>
      <c r="C104" s="474"/>
      <c r="D104" s="474"/>
      <c r="E104" s="474"/>
      <c r="F104" s="251"/>
      <c r="G104" s="562"/>
      <c r="H104" s="562"/>
      <c r="I104" s="562"/>
      <c r="J104" s="562"/>
      <c r="K104" s="562"/>
      <c r="L104" s="562"/>
      <c r="M104" s="251"/>
      <c r="N104" s="595"/>
      <c r="O104" s="595"/>
    </row>
    <row r="105" spans="1:15" s="608" customFormat="1">
      <c r="A105" s="251"/>
      <c r="B105" s="251"/>
      <c r="C105" s="562"/>
      <c r="D105" s="564"/>
      <c r="E105" s="561"/>
      <c r="F105" s="251"/>
      <c r="G105" s="562"/>
      <c r="H105" s="562"/>
      <c r="I105" s="562"/>
      <c r="J105" s="562"/>
      <c r="K105" s="562"/>
      <c r="L105" s="562"/>
      <c r="M105" s="251"/>
      <c r="N105" s="595"/>
      <c r="O105" s="595"/>
    </row>
    <row r="106" spans="1:15" s="608" customFormat="1">
      <c r="A106" s="251"/>
      <c r="B106" s="251"/>
      <c r="C106" s="251"/>
      <c r="D106" s="564"/>
      <c r="E106" s="561"/>
      <c r="F106" s="251"/>
      <c r="G106" s="562"/>
      <c r="H106" s="562"/>
      <c r="I106" s="562"/>
      <c r="J106" s="562"/>
      <c r="K106" s="562"/>
      <c r="L106" s="562"/>
      <c r="M106" s="251"/>
      <c r="N106" s="595"/>
      <c r="O106" s="595"/>
    </row>
    <row r="107" spans="1:15" s="608" customFormat="1">
      <c r="A107" s="251"/>
      <c r="B107" s="251"/>
      <c r="C107" s="562"/>
      <c r="D107" s="258"/>
      <c r="E107" s="561"/>
      <c r="F107" s="251"/>
      <c r="G107" s="562"/>
      <c r="H107" s="562"/>
      <c r="I107" s="562"/>
      <c r="J107" s="562"/>
      <c r="K107" s="562"/>
      <c r="L107" s="562"/>
      <c r="M107" s="251"/>
      <c r="N107" s="595"/>
      <c r="O107" s="595"/>
    </row>
    <row r="108" spans="1:15" s="608" customFormat="1">
      <c r="A108" s="251"/>
      <c r="B108" s="251"/>
      <c r="C108" s="562"/>
      <c r="D108" s="258"/>
      <c r="E108" s="561"/>
      <c r="F108" s="251"/>
      <c r="G108" s="562"/>
      <c r="H108" s="562"/>
      <c r="I108" s="562"/>
      <c r="J108" s="562"/>
      <c r="K108" s="562"/>
      <c r="L108" s="562"/>
      <c r="M108" s="251"/>
      <c r="N108" s="595"/>
      <c r="O108" s="595"/>
    </row>
    <row r="109" spans="1:15" s="608" customFormat="1">
      <c r="A109" s="251"/>
      <c r="B109" s="251"/>
      <c r="C109" s="566"/>
      <c r="D109" s="567"/>
      <c r="E109" s="592"/>
      <c r="F109" s="254"/>
      <c r="G109" s="295"/>
      <c r="H109" s="562"/>
      <c r="I109" s="562"/>
      <c r="J109" s="562"/>
      <c r="K109" s="562"/>
      <c r="L109" s="562"/>
      <c r="M109" s="251"/>
      <c r="N109" s="595"/>
      <c r="O109" s="595"/>
    </row>
    <row r="110" spans="1:15" s="608" customFormat="1">
      <c r="A110" s="251"/>
      <c r="B110" s="592"/>
      <c r="C110" s="592"/>
      <c r="D110" s="592"/>
      <c r="E110" s="592"/>
      <c r="F110" s="592"/>
      <c r="G110" s="592"/>
      <c r="H110" s="592"/>
      <c r="I110" s="592"/>
      <c r="J110" s="592"/>
      <c r="K110" s="592"/>
      <c r="L110" s="592"/>
      <c r="M110" s="251"/>
      <c r="N110" s="595"/>
      <c r="O110" s="595"/>
    </row>
    <row r="111" spans="1:15" s="608" customFormat="1">
      <c r="A111" s="559"/>
      <c r="B111" s="560"/>
      <c r="C111" s="561"/>
      <c r="D111" s="561"/>
      <c r="E111" s="251"/>
      <c r="F111" s="251"/>
      <c r="G111" s="562"/>
      <c r="H111" s="562"/>
      <c r="I111" s="562"/>
      <c r="J111" s="562"/>
      <c r="K111" s="562"/>
      <c r="L111" s="563"/>
      <c r="M111" s="559"/>
      <c r="N111" s="595"/>
      <c r="O111" s="595"/>
    </row>
    <row r="112" spans="1:15" s="608" customFormat="1">
      <c r="A112" s="559"/>
      <c r="B112" s="560"/>
      <c r="C112" s="251"/>
      <c r="D112" s="258"/>
      <c r="E112" s="561"/>
      <c r="F112" s="251"/>
      <c r="G112" s="562"/>
      <c r="H112" s="562"/>
      <c r="I112" s="562"/>
      <c r="J112" s="562"/>
      <c r="K112" s="562"/>
      <c r="L112" s="563"/>
      <c r="M112" s="559"/>
      <c r="N112" s="595"/>
      <c r="O112" s="595"/>
    </row>
    <row r="113" spans="1:15" s="608" customFormat="1">
      <c r="A113" s="559"/>
      <c r="B113" s="560"/>
      <c r="C113" s="251"/>
      <c r="D113" s="564"/>
      <c r="E113" s="561"/>
      <c r="F113" s="251"/>
      <c r="G113" s="562"/>
      <c r="H113" s="562"/>
      <c r="I113" s="562"/>
      <c r="J113" s="562"/>
      <c r="K113" s="562"/>
      <c r="L113" s="563"/>
      <c r="M113" s="559"/>
      <c r="N113" s="595"/>
      <c r="O113" s="595"/>
    </row>
    <row r="114" spans="1:15" s="608" customFormat="1">
      <c r="A114" s="559"/>
      <c r="B114" s="560"/>
      <c r="C114" s="251"/>
      <c r="D114" s="258"/>
      <c r="E114" s="561"/>
      <c r="F114" s="251"/>
      <c r="G114" s="562"/>
      <c r="H114" s="562"/>
      <c r="I114" s="562"/>
      <c r="J114" s="562"/>
      <c r="K114" s="562"/>
      <c r="L114" s="563"/>
      <c r="M114" s="559"/>
      <c r="N114" s="595"/>
      <c r="O114" s="595"/>
    </row>
    <row r="115" spans="1:15" s="608" customFormat="1">
      <c r="A115" s="559"/>
      <c r="B115" s="560"/>
      <c r="C115" s="251"/>
      <c r="D115" s="564"/>
      <c r="E115" s="561"/>
      <c r="F115" s="251"/>
      <c r="G115" s="562"/>
      <c r="H115" s="562"/>
      <c r="I115" s="562"/>
      <c r="J115" s="562"/>
      <c r="K115" s="562"/>
      <c r="L115" s="563"/>
      <c r="M115" s="559"/>
      <c r="N115" s="595"/>
      <c r="O115" s="595"/>
    </row>
    <row r="116" spans="1:15" s="608" customFormat="1">
      <c r="A116" s="559"/>
      <c r="B116" s="560"/>
      <c r="C116" s="562"/>
      <c r="D116" s="564"/>
      <c r="E116" s="561"/>
      <c r="F116" s="251"/>
      <c r="G116" s="562"/>
      <c r="H116" s="562"/>
      <c r="I116" s="562"/>
      <c r="J116" s="562"/>
      <c r="K116" s="562"/>
      <c r="L116" s="563"/>
      <c r="M116" s="559"/>
      <c r="N116" s="595"/>
      <c r="O116" s="595"/>
    </row>
    <row r="117" spans="1:15" s="608" customFormat="1">
      <c r="A117" s="559"/>
      <c r="B117" s="251"/>
      <c r="C117" s="566"/>
      <c r="D117" s="567"/>
      <c r="E117" s="592"/>
      <c r="F117" s="254"/>
      <c r="G117" s="295"/>
      <c r="H117" s="562"/>
      <c r="I117" s="562"/>
      <c r="J117" s="562"/>
      <c r="K117" s="562"/>
      <c r="L117" s="563"/>
      <c r="M117" s="559"/>
      <c r="N117" s="595"/>
      <c r="O117" s="595"/>
    </row>
    <row r="118" spans="1:15" s="608" customFormat="1">
      <c r="A118" s="559"/>
      <c r="B118" s="568"/>
      <c r="C118" s="568"/>
      <c r="D118" s="568"/>
      <c r="E118" s="568"/>
      <c r="F118" s="568"/>
      <c r="G118" s="568"/>
      <c r="H118" s="568"/>
      <c r="I118" s="568"/>
      <c r="J118" s="568"/>
      <c r="K118" s="568"/>
      <c r="L118" s="568"/>
      <c r="M118" s="559"/>
      <c r="N118" s="595"/>
      <c r="O118" s="595"/>
    </row>
    <row r="119" spans="1:15" s="608" customFormat="1">
      <c r="A119" s="559"/>
      <c r="B119" s="560"/>
      <c r="C119" s="561"/>
      <c r="D119" s="561"/>
      <c r="E119" s="251"/>
      <c r="F119" s="251"/>
      <c r="G119" s="562"/>
      <c r="H119" s="562"/>
      <c r="I119" s="562"/>
      <c r="J119" s="562"/>
      <c r="K119" s="562"/>
      <c r="L119" s="563"/>
      <c r="M119" s="559"/>
      <c r="N119" s="595"/>
      <c r="O119" s="595"/>
    </row>
    <row r="120" spans="1:15" s="608" customFormat="1">
      <c r="A120" s="559"/>
      <c r="B120" s="251"/>
      <c r="C120" s="562"/>
      <c r="D120" s="564"/>
      <c r="E120" s="561"/>
      <c r="F120" s="251"/>
      <c r="G120" s="562"/>
      <c r="H120" s="562"/>
      <c r="I120" s="562"/>
      <c r="J120" s="562"/>
      <c r="K120" s="562"/>
      <c r="L120" s="563"/>
      <c r="M120" s="559"/>
      <c r="N120" s="595"/>
      <c r="O120" s="595"/>
    </row>
    <row r="121" spans="1:15" s="608" customFormat="1">
      <c r="A121" s="559"/>
      <c r="B121" s="251"/>
      <c r="C121" s="562"/>
      <c r="D121" s="565"/>
      <c r="E121" s="561"/>
      <c r="F121" s="251"/>
      <c r="G121" s="562"/>
      <c r="H121" s="562"/>
      <c r="I121" s="562"/>
      <c r="J121" s="562"/>
      <c r="K121" s="562"/>
      <c r="L121" s="563"/>
      <c r="M121" s="559"/>
      <c r="N121" s="595"/>
      <c r="O121" s="595"/>
    </row>
    <row r="122" spans="1:15" s="608" customFormat="1">
      <c r="A122" s="559"/>
      <c r="B122" s="251"/>
      <c r="C122" s="562"/>
      <c r="D122" s="565"/>
      <c r="E122" s="561"/>
      <c r="F122" s="251"/>
      <c r="G122" s="562"/>
      <c r="H122" s="562"/>
      <c r="I122" s="562"/>
      <c r="J122" s="562"/>
      <c r="K122" s="562"/>
      <c r="L122" s="563"/>
      <c r="M122" s="559"/>
      <c r="N122" s="595"/>
      <c r="O122" s="595"/>
    </row>
    <row r="123" spans="1:15" s="608" customFormat="1">
      <c r="A123" s="559"/>
      <c r="B123" s="251"/>
      <c r="C123" s="562"/>
      <c r="D123" s="258"/>
      <c r="E123" s="561"/>
      <c r="F123" s="251"/>
      <c r="G123" s="562"/>
      <c r="H123" s="562"/>
      <c r="I123" s="562"/>
      <c r="J123" s="562"/>
      <c r="K123" s="562"/>
      <c r="L123" s="563"/>
      <c r="M123" s="559"/>
      <c r="N123" s="595"/>
      <c r="O123" s="595"/>
    </row>
    <row r="124" spans="1:15" s="608" customFormat="1">
      <c r="A124" s="559"/>
      <c r="B124" s="251"/>
      <c r="C124" s="569"/>
      <c r="D124" s="564"/>
      <c r="E124" s="561"/>
      <c r="F124" s="251"/>
      <c r="G124" s="562"/>
      <c r="H124" s="562"/>
      <c r="I124" s="562"/>
      <c r="J124" s="562"/>
      <c r="K124" s="562"/>
      <c r="L124" s="563"/>
      <c r="M124" s="559"/>
      <c r="N124" s="595"/>
      <c r="O124" s="595"/>
    </row>
    <row r="125" spans="1:15" s="608" customFormat="1">
      <c r="A125" s="559"/>
      <c r="B125" s="251"/>
      <c r="C125" s="569"/>
      <c r="D125" s="564"/>
      <c r="E125" s="561"/>
      <c r="F125" s="251"/>
      <c r="G125" s="562"/>
      <c r="H125" s="562"/>
      <c r="I125" s="562"/>
      <c r="J125" s="562"/>
      <c r="K125" s="562"/>
      <c r="L125" s="563"/>
      <c r="M125" s="559"/>
      <c r="N125" s="595"/>
      <c r="O125" s="595"/>
    </row>
    <row r="126" spans="1:15" s="608" customFormat="1">
      <c r="A126" s="559"/>
      <c r="B126" s="251"/>
      <c r="C126" s="569"/>
      <c r="D126" s="564"/>
      <c r="E126" s="561"/>
      <c r="F126" s="251"/>
      <c r="G126" s="562"/>
      <c r="H126" s="562"/>
      <c r="I126" s="562"/>
      <c r="J126" s="562"/>
      <c r="K126" s="562"/>
      <c r="L126" s="563"/>
      <c r="M126" s="559"/>
      <c r="N126" s="595"/>
      <c r="O126" s="595"/>
    </row>
    <row r="127" spans="1:15" s="608" customFormat="1">
      <c r="A127" s="559"/>
      <c r="B127" s="251"/>
      <c r="C127" s="569"/>
      <c r="D127" s="564"/>
      <c r="E127" s="561"/>
      <c r="F127" s="251"/>
      <c r="G127" s="562"/>
      <c r="H127" s="562"/>
      <c r="I127" s="562"/>
      <c r="J127" s="562"/>
      <c r="K127" s="562"/>
      <c r="L127" s="563"/>
      <c r="M127" s="559"/>
      <c r="N127" s="595"/>
      <c r="O127" s="595"/>
    </row>
    <row r="128" spans="1:15" s="608" customFormat="1">
      <c r="A128" s="559"/>
      <c r="B128" s="251"/>
      <c r="C128" s="562"/>
      <c r="D128" s="564"/>
      <c r="E128" s="561"/>
      <c r="F128" s="251"/>
      <c r="G128" s="562"/>
      <c r="H128" s="562"/>
      <c r="I128" s="562"/>
      <c r="J128" s="562"/>
      <c r="K128" s="562"/>
      <c r="L128" s="563"/>
      <c r="M128" s="559"/>
      <c r="N128" s="595"/>
      <c r="O128" s="595"/>
    </row>
    <row r="129" spans="1:15" s="608" customFormat="1">
      <c r="A129" s="559"/>
      <c r="B129" s="251"/>
      <c r="C129" s="251"/>
      <c r="D129" s="564"/>
      <c r="E129" s="561"/>
      <c r="F129" s="251"/>
      <c r="G129" s="562"/>
      <c r="H129" s="562"/>
      <c r="I129" s="562"/>
      <c r="J129" s="562"/>
      <c r="K129" s="562"/>
      <c r="L129" s="563"/>
      <c r="M129" s="559"/>
      <c r="N129" s="595"/>
      <c r="O129" s="595"/>
    </row>
    <row r="130" spans="1:15" s="608" customFormat="1">
      <c r="A130" s="559"/>
      <c r="B130" s="251"/>
      <c r="C130" s="562"/>
      <c r="D130" s="564"/>
      <c r="E130" s="561"/>
      <c r="F130" s="251"/>
      <c r="G130" s="562"/>
      <c r="H130" s="562"/>
      <c r="I130" s="562"/>
      <c r="J130" s="562"/>
      <c r="K130" s="562"/>
      <c r="L130" s="563"/>
      <c r="M130" s="559"/>
      <c r="N130" s="595"/>
      <c r="O130" s="595"/>
    </row>
    <row r="131" spans="1:15" s="608" customFormat="1">
      <c r="A131" s="559"/>
      <c r="B131" s="251"/>
      <c r="C131" s="562"/>
      <c r="D131" s="564"/>
      <c r="E131" s="561"/>
      <c r="F131" s="251"/>
      <c r="G131" s="562"/>
      <c r="H131" s="562"/>
      <c r="I131" s="562"/>
      <c r="J131" s="562"/>
      <c r="K131" s="562"/>
      <c r="L131" s="563"/>
      <c r="M131" s="559"/>
      <c r="N131" s="595"/>
      <c r="O131" s="595"/>
    </row>
    <row r="132" spans="1:15" s="608" customFormat="1">
      <c r="A132" s="559"/>
      <c r="B132" s="251"/>
      <c r="C132" s="566"/>
      <c r="D132" s="567"/>
      <c r="E132" s="592"/>
      <c r="F132" s="254"/>
      <c r="G132" s="295"/>
      <c r="H132" s="562"/>
      <c r="I132" s="562"/>
      <c r="J132" s="562"/>
      <c r="K132" s="562"/>
      <c r="L132" s="563"/>
      <c r="M132" s="559"/>
      <c r="N132" s="595"/>
      <c r="O132" s="595"/>
    </row>
    <row r="133" spans="1:15" s="608" customFormat="1">
      <c r="A133" s="559"/>
      <c r="B133" s="574"/>
      <c r="C133" s="578"/>
      <c r="D133" s="576"/>
      <c r="E133" s="563"/>
      <c r="F133" s="559"/>
      <c r="G133" s="563"/>
      <c r="H133" s="563"/>
      <c r="I133" s="563"/>
      <c r="J133" s="563"/>
      <c r="K133" s="563"/>
      <c r="L133" s="563"/>
      <c r="M133" s="559"/>
      <c r="N133" s="595"/>
      <c r="O133" s="595"/>
    </row>
    <row r="134" spans="1:15" s="608" customFormat="1">
      <c r="A134" s="939"/>
      <c r="B134" s="939"/>
      <c r="C134" s="939"/>
      <c r="D134" s="939"/>
      <c r="E134" s="939"/>
      <c r="F134" s="939"/>
      <c r="G134" s="939"/>
      <c r="H134" s="939"/>
      <c r="I134" s="939"/>
      <c r="J134" s="939"/>
      <c r="K134" s="939"/>
      <c r="L134" s="939"/>
      <c r="M134" s="939"/>
      <c r="N134" s="595"/>
      <c r="O134" s="595"/>
    </row>
    <row r="135" spans="1:15" s="608" customFormat="1">
      <c r="A135" s="562"/>
      <c r="B135" s="571"/>
      <c r="C135" s="572"/>
      <c r="D135" s="562"/>
      <c r="E135" s="562"/>
      <c r="F135" s="562"/>
      <c r="G135" s="562"/>
      <c r="H135" s="562"/>
      <c r="I135" s="562"/>
      <c r="J135" s="562"/>
      <c r="K135" s="562"/>
      <c r="L135" s="562"/>
      <c r="M135" s="562"/>
      <c r="N135" s="595"/>
      <c r="O135" s="595"/>
    </row>
    <row r="136" spans="1:15" s="608" customFormat="1">
      <c r="A136" s="562"/>
      <c r="B136" s="251"/>
      <c r="C136" s="562"/>
      <c r="D136" s="564"/>
      <c r="E136" s="561"/>
      <c r="F136" s="251"/>
      <c r="G136" s="562"/>
      <c r="H136" s="562"/>
      <c r="I136" s="562"/>
      <c r="J136" s="562"/>
      <c r="K136" s="562"/>
      <c r="L136" s="562"/>
      <c r="M136" s="562"/>
      <c r="N136" s="595"/>
      <c r="O136" s="595"/>
    </row>
    <row r="137" spans="1:15" s="608" customFormat="1">
      <c r="A137" s="562"/>
      <c r="B137" s="251"/>
      <c r="C137" s="251"/>
      <c r="D137" s="564"/>
      <c r="E137" s="561"/>
      <c r="F137" s="251"/>
      <c r="G137" s="562"/>
      <c r="H137" s="562"/>
      <c r="I137" s="562"/>
      <c r="J137" s="562"/>
      <c r="K137" s="562"/>
      <c r="L137" s="562"/>
      <c r="M137" s="562"/>
      <c r="N137" s="595"/>
      <c r="O137" s="595"/>
    </row>
    <row r="138" spans="1:15" s="608" customFormat="1">
      <c r="A138" s="562"/>
      <c r="B138" s="251"/>
      <c r="C138" s="562"/>
      <c r="D138" s="564"/>
      <c r="E138" s="561"/>
      <c r="F138" s="251"/>
      <c r="G138" s="562"/>
      <c r="H138" s="573"/>
      <c r="I138" s="573"/>
      <c r="J138" s="573"/>
      <c r="K138" s="573"/>
      <c r="L138" s="573"/>
      <c r="M138" s="251"/>
      <c r="N138" s="595"/>
      <c r="O138" s="595"/>
    </row>
    <row r="139" spans="1:15" s="608" customFormat="1">
      <c r="A139" s="562"/>
      <c r="B139" s="251"/>
      <c r="C139" s="562"/>
      <c r="D139" s="564"/>
      <c r="E139" s="561"/>
      <c r="F139" s="251"/>
      <c r="G139" s="562"/>
      <c r="H139" s="562"/>
      <c r="I139" s="258"/>
      <c r="J139" s="258"/>
      <c r="K139" s="258"/>
      <c r="L139" s="251"/>
      <c r="M139" s="251"/>
      <c r="N139" s="595"/>
      <c r="O139" s="595"/>
    </row>
    <row r="140" spans="1:15" s="608" customFormat="1">
      <c r="A140" s="562"/>
      <c r="B140" s="251"/>
      <c r="C140" s="566"/>
      <c r="D140" s="567"/>
      <c r="E140" s="592"/>
      <c r="F140" s="254"/>
      <c r="G140" s="295"/>
      <c r="H140" s="562"/>
      <c r="I140" s="258"/>
      <c r="J140" s="258"/>
      <c r="K140" s="258"/>
      <c r="L140" s="251"/>
      <c r="M140" s="251"/>
      <c r="N140" s="595"/>
      <c r="O140" s="595"/>
    </row>
    <row r="141" spans="1:15" s="608" customFormat="1">
      <c r="A141" s="251"/>
      <c r="B141" s="592"/>
      <c r="C141" s="592"/>
      <c r="D141" s="592"/>
      <c r="E141" s="592"/>
      <c r="F141" s="592"/>
      <c r="G141" s="592"/>
      <c r="H141" s="592"/>
      <c r="I141" s="592"/>
      <c r="J141" s="592"/>
      <c r="K141" s="592"/>
      <c r="L141" s="592"/>
      <c r="M141" s="251"/>
      <c r="N141" s="595"/>
      <c r="O141" s="595"/>
    </row>
    <row r="142" spans="1:15" s="608" customFormat="1">
      <c r="A142" s="563"/>
      <c r="B142" s="560"/>
      <c r="C142" s="251"/>
      <c r="D142" s="251"/>
      <c r="E142" s="251"/>
      <c r="F142" s="562"/>
      <c r="G142" s="562"/>
      <c r="H142" s="562"/>
      <c r="I142" s="258"/>
      <c r="J142" s="258"/>
      <c r="K142" s="258"/>
      <c r="L142" s="559"/>
      <c r="M142" s="559"/>
      <c r="N142" s="595"/>
      <c r="O142" s="595"/>
    </row>
    <row r="143" spans="1:15" s="608" customFormat="1">
      <c r="A143" s="563"/>
      <c r="B143" s="251"/>
      <c r="C143" s="251"/>
      <c r="D143" s="565"/>
      <c r="E143" s="561"/>
      <c r="F143" s="251"/>
      <c r="G143" s="562"/>
      <c r="H143" s="562"/>
      <c r="I143" s="258"/>
      <c r="J143" s="258"/>
      <c r="K143" s="258"/>
      <c r="L143" s="559"/>
      <c r="M143" s="559"/>
      <c r="N143" s="595"/>
      <c r="O143" s="595"/>
    </row>
    <row r="144" spans="1:15" s="608" customFormat="1">
      <c r="A144" s="559"/>
      <c r="B144" s="251"/>
      <c r="C144" s="562"/>
      <c r="D144" s="564"/>
      <c r="E144" s="561"/>
      <c r="F144" s="251"/>
      <c r="G144" s="562"/>
      <c r="H144" s="251"/>
      <c r="I144" s="251"/>
      <c r="J144" s="251"/>
      <c r="K144" s="251"/>
      <c r="L144" s="559"/>
      <c r="M144" s="559"/>
      <c r="N144" s="595"/>
      <c r="O144" s="595"/>
    </row>
    <row r="145" spans="1:15" s="608" customFormat="1">
      <c r="A145" s="559"/>
      <c r="B145" s="251"/>
      <c r="C145" s="251"/>
      <c r="D145" s="564"/>
      <c r="E145" s="561"/>
      <c r="F145" s="251"/>
      <c r="G145" s="562"/>
      <c r="H145" s="251"/>
      <c r="I145" s="251"/>
      <c r="J145" s="251"/>
      <c r="K145" s="251"/>
      <c r="L145" s="559"/>
      <c r="M145" s="559"/>
      <c r="N145" s="595"/>
      <c r="O145" s="595"/>
    </row>
    <row r="146" spans="1:15" s="608" customFormat="1">
      <c r="A146" s="559"/>
      <c r="B146" s="251"/>
      <c r="C146" s="251"/>
      <c r="D146" s="564"/>
      <c r="E146" s="561"/>
      <c r="F146" s="251"/>
      <c r="G146" s="562"/>
      <c r="H146" s="251"/>
      <c r="I146" s="251"/>
      <c r="J146" s="251"/>
      <c r="K146" s="251"/>
      <c r="L146" s="559"/>
      <c r="M146" s="559"/>
      <c r="N146" s="595"/>
      <c r="O146" s="595"/>
    </row>
    <row r="147" spans="1:15" s="608" customFormat="1">
      <c r="A147" s="559"/>
      <c r="B147" s="251"/>
      <c r="C147" s="562"/>
      <c r="D147" s="564"/>
      <c r="E147" s="561"/>
      <c r="F147" s="251"/>
      <c r="G147" s="562"/>
      <c r="H147" s="251"/>
      <c r="I147" s="251"/>
      <c r="J147" s="251"/>
      <c r="K147" s="251"/>
      <c r="L147" s="559"/>
      <c r="M147" s="559"/>
      <c r="N147" s="595"/>
      <c r="O147" s="595"/>
    </row>
    <row r="148" spans="1:15" s="608" customFormat="1">
      <c r="A148" s="559"/>
      <c r="B148" s="251"/>
      <c r="C148" s="566"/>
      <c r="D148" s="567"/>
      <c r="E148" s="592"/>
      <c r="F148" s="254"/>
      <c r="G148" s="295"/>
      <c r="H148" s="251"/>
      <c r="I148" s="251"/>
      <c r="J148" s="251"/>
      <c r="K148" s="251"/>
      <c r="L148" s="559"/>
      <c r="M148" s="559"/>
      <c r="N148" s="595"/>
      <c r="O148" s="595"/>
    </row>
    <row r="149" spans="1:15" s="608" customFormat="1">
      <c r="A149" s="559"/>
      <c r="B149" s="559"/>
      <c r="C149" s="574"/>
      <c r="D149" s="575"/>
      <c r="E149" s="576"/>
      <c r="F149" s="559"/>
      <c r="G149" s="563"/>
      <c r="H149" s="577"/>
      <c r="I149" s="559"/>
      <c r="J149" s="559"/>
      <c r="K149" s="559"/>
      <c r="L149" s="559"/>
      <c r="M149" s="559"/>
      <c r="N149" s="595"/>
      <c r="O149" s="595"/>
    </row>
    <row r="150" spans="1:15" s="608" customFormat="1">
      <c r="A150" s="952"/>
      <c r="B150" s="952"/>
      <c r="C150" s="952"/>
      <c r="D150" s="952"/>
      <c r="E150" s="952"/>
      <c r="F150" s="952"/>
      <c r="G150" s="952"/>
      <c r="H150" s="952"/>
      <c r="I150" s="952"/>
      <c r="J150" s="952"/>
      <c r="K150" s="952"/>
      <c r="L150" s="952"/>
      <c r="M150" s="952"/>
      <c r="N150" s="595"/>
      <c r="O150" s="595"/>
    </row>
    <row r="151" spans="1:15" s="608" customFormat="1" ht="65.25" customHeight="1">
      <c r="A151" s="251"/>
      <c r="B151" s="251"/>
      <c r="C151" s="569"/>
      <c r="D151" s="258"/>
      <c r="E151" s="561"/>
      <c r="F151" s="251"/>
      <c r="G151" s="562"/>
      <c r="H151" s="565"/>
      <c r="I151" s="251"/>
      <c r="J151" s="251"/>
      <c r="K151" s="251"/>
      <c r="L151" s="251"/>
      <c r="M151" s="251"/>
      <c r="N151" s="595"/>
      <c r="O151" s="595"/>
    </row>
    <row r="152" spans="1:15" s="608" customFormat="1" ht="103" customHeight="1">
      <c r="A152" s="251"/>
      <c r="B152" s="251"/>
      <c r="C152" s="569"/>
      <c r="D152" s="564"/>
      <c r="E152" s="561"/>
      <c r="F152" s="251"/>
      <c r="G152" s="562"/>
      <c r="H152" s="565"/>
      <c r="I152" s="251"/>
      <c r="J152" s="251"/>
      <c r="K152" s="251"/>
      <c r="L152" s="251"/>
      <c r="M152" s="251"/>
      <c r="N152" s="595"/>
      <c r="O152" s="595"/>
    </row>
    <row r="153" spans="1:15" s="608" customFormat="1">
      <c r="A153" s="251"/>
      <c r="B153" s="251"/>
      <c r="C153" s="569"/>
      <c r="D153" s="564"/>
      <c r="E153" s="561"/>
      <c r="F153" s="251"/>
      <c r="G153" s="562"/>
      <c r="H153" s="565"/>
      <c r="I153" s="251"/>
      <c r="J153" s="251"/>
      <c r="K153" s="251"/>
      <c r="L153" s="251"/>
      <c r="M153" s="251"/>
      <c r="N153" s="595"/>
      <c r="O153" s="595"/>
    </row>
    <row r="154" spans="1:15" s="608" customFormat="1">
      <c r="A154" s="251"/>
      <c r="B154" s="251"/>
      <c r="C154" s="569"/>
      <c r="D154" s="564"/>
      <c r="E154" s="561"/>
      <c r="F154" s="251"/>
      <c r="G154" s="562"/>
      <c r="H154" s="565"/>
      <c r="I154" s="251"/>
      <c r="J154" s="251"/>
      <c r="K154" s="251"/>
      <c r="L154" s="251"/>
      <c r="M154" s="251"/>
      <c r="N154" s="595"/>
      <c r="O154" s="595"/>
    </row>
    <row r="155" spans="1:15" s="608" customFormat="1">
      <c r="A155" s="251"/>
      <c r="B155" s="251"/>
      <c r="C155" s="566"/>
      <c r="D155" s="567"/>
      <c r="E155" s="592"/>
      <c r="F155" s="254"/>
      <c r="G155" s="295"/>
      <c r="H155" s="565"/>
      <c r="I155" s="251"/>
      <c r="J155" s="251"/>
      <c r="K155" s="251"/>
      <c r="L155" s="251"/>
      <c r="M155" s="251"/>
      <c r="N155" s="595"/>
      <c r="O155" s="595"/>
    </row>
    <row r="156" spans="1:15" s="608" customFormat="1">
      <c r="A156" s="251"/>
      <c r="B156" s="251"/>
      <c r="C156" s="569"/>
      <c r="D156" s="564"/>
      <c r="E156" s="561"/>
      <c r="F156" s="251"/>
      <c r="G156" s="251"/>
      <c r="H156" s="565"/>
      <c r="I156" s="251"/>
      <c r="J156" s="251"/>
      <c r="K156" s="251"/>
      <c r="L156" s="251"/>
      <c r="M156" s="251"/>
      <c r="N156" s="595"/>
      <c r="O156" s="595"/>
    </row>
    <row r="157" spans="1:15">
      <c r="A157" s="938"/>
      <c r="B157" s="938"/>
      <c r="C157" s="938"/>
      <c r="D157" s="938"/>
      <c r="E157" s="938"/>
      <c r="F157" s="938"/>
      <c r="G157" s="938"/>
      <c r="H157" s="938"/>
      <c r="I157" s="938"/>
      <c r="J157" s="938"/>
      <c r="K157" s="938"/>
      <c r="L157" s="938"/>
      <c r="M157" s="938"/>
      <c r="N157" s="249"/>
      <c r="O157" s="249"/>
    </row>
    <row r="158" spans="1:15">
      <c r="A158" s="559"/>
      <c r="B158" s="568"/>
      <c r="C158" s="568"/>
      <c r="D158" s="568"/>
      <c r="E158" s="568"/>
      <c r="F158" s="568"/>
      <c r="G158" s="568"/>
      <c r="H158" s="568"/>
      <c r="I158" s="568"/>
      <c r="J158" s="568"/>
      <c r="K158" s="568"/>
      <c r="L158" s="568"/>
      <c r="M158" s="559"/>
      <c r="N158" s="249"/>
      <c r="O158" s="249"/>
    </row>
    <row r="159" spans="1:15">
      <c r="A159" s="939"/>
      <c r="B159" s="939"/>
      <c r="C159" s="939"/>
      <c r="D159" s="939"/>
      <c r="E159" s="939"/>
      <c r="F159" s="939"/>
      <c r="G159" s="939"/>
      <c r="H159" s="939"/>
      <c r="I159" s="939"/>
      <c r="J159" s="939"/>
      <c r="K159" s="939"/>
      <c r="L159" s="939"/>
      <c r="M159" s="939"/>
      <c r="N159" s="249"/>
      <c r="O159" s="249"/>
    </row>
    <row r="160" spans="1:15">
      <c r="A160" s="251"/>
      <c r="B160" s="573"/>
      <c r="C160" s="474"/>
      <c r="D160" s="474"/>
      <c r="E160" s="474"/>
      <c r="F160" s="251"/>
      <c r="G160" s="562"/>
      <c r="H160" s="562"/>
      <c r="I160" s="562"/>
      <c r="J160" s="562"/>
      <c r="K160" s="562"/>
      <c r="L160" s="562"/>
      <c r="M160" s="251"/>
      <c r="N160" s="249"/>
      <c r="O160" s="249"/>
    </row>
    <row r="161" spans="1:15">
      <c r="A161" s="251"/>
      <c r="B161" s="251"/>
      <c r="C161" s="562"/>
      <c r="D161" s="561"/>
      <c r="E161" s="561"/>
      <c r="F161" s="251"/>
      <c r="G161" s="562"/>
      <c r="H161" s="562"/>
      <c r="I161" s="562"/>
      <c r="J161" s="562"/>
      <c r="K161" s="562"/>
      <c r="L161" s="562"/>
      <c r="M161" s="251"/>
      <c r="N161" s="249"/>
      <c r="O161" s="249"/>
    </row>
    <row r="162" spans="1:15">
      <c r="A162" s="251"/>
      <c r="B162" s="251"/>
      <c r="C162" s="251"/>
      <c r="D162" s="564"/>
      <c r="E162" s="561"/>
      <c r="F162" s="251"/>
      <c r="G162" s="562"/>
      <c r="H162" s="562"/>
      <c r="I162" s="562"/>
      <c r="J162" s="562"/>
      <c r="K162" s="562"/>
      <c r="L162" s="562"/>
      <c r="M162" s="251"/>
      <c r="N162" s="249"/>
      <c r="O162" s="249"/>
    </row>
    <row r="163" spans="1:15">
      <c r="A163" s="251"/>
      <c r="B163" s="251"/>
      <c r="C163" s="562"/>
      <c r="D163" s="564"/>
      <c r="E163" s="561"/>
      <c r="F163" s="251"/>
      <c r="G163" s="562"/>
      <c r="H163" s="562"/>
      <c r="I163" s="562"/>
      <c r="J163" s="562"/>
      <c r="K163" s="562"/>
      <c r="L163" s="562"/>
      <c r="M163" s="251"/>
      <c r="N163" s="249"/>
      <c r="O163" s="249"/>
    </row>
    <row r="164" spans="1:15">
      <c r="A164" s="251"/>
      <c r="B164" s="251"/>
      <c r="C164" s="562"/>
      <c r="D164" s="564"/>
      <c r="E164" s="561"/>
      <c r="F164" s="251"/>
      <c r="G164" s="562"/>
      <c r="H164" s="562"/>
      <c r="I164" s="562"/>
      <c r="J164" s="562"/>
      <c r="K164" s="562"/>
      <c r="L164" s="562"/>
      <c r="M164" s="251"/>
      <c r="N164" s="249"/>
      <c r="O164" s="249"/>
    </row>
    <row r="165" spans="1:15">
      <c r="A165" s="251"/>
      <c r="B165" s="251"/>
      <c r="C165" s="566"/>
      <c r="D165" s="567"/>
      <c r="E165" s="592"/>
      <c r="F165" s="254"/>
      <c r="G165" s="295"/>
      <c r="H165" s="562"/>
      <c r="I165" s="562"/>
      <c r="J165" s="562"/>
      <c r="K165" s="562"/>
      <c r="L165" s="562"/>
      <c r="M165" s="251"/>
      <c r="N165" s="249"/>
      <c r="O165" s="249"/>
    </row>
    <row r="166" spans="1:15">
      <c r="A166" s="251"/>
      <c r="B166" s="592"/>
      <c r="C166" s="592"/>
      <c r="D166" s="592"/>
      <c r="E166" s="592"/>
      <c r="F166" s="592"/>
      <c r="G166" s="592"/>
      <c r="H166" s="592"/>
      <c r="I166" s="592"/>
      <c r="J166" s="592"/>
      <c r="K166" s="592"/>
      <c r="L166" s="592"/>
      <c r="M166" s="251"/>
      <c r="N166" s="249"/>
      <c r="O166" s="249"/>
    </row>
    <row r="167" spans="1:15">
      <c r="A167" s="559"/>
      <c r="B167" s="560"/>
      <c r="C167" s="561"/>
      <c r="D167" s="561"/>
      <c r="E167" s="251"/>
      <c r="F167" s="251"/>
      <c r="G167" s="562"/>
      <c r="H167" s="562"/>
      <c r="I167" s="562"/>
      <c r="J167" s="562"/>
      <c r="K167" s="562"/>
      <c r="L167" s="562"/>
      <c r="M167" s="559"/>
      <c r="N167" s="249"/>
      <c r="O167" s="249"/>
    </row>
    <row r="168" spans="1:15">
      <c r="A168" s="559"/>
      <c r="B168" s="560"/>
      <c r="C168" s="562"/>
      <c r="D168" s="564"/>
      <c r="E168" s="561"/>
      <c r="F168" s="251"/>
      <c r="G168" s="562"/>
      <c r="H168" s="562"/>
      <c r="I168" s="562"/>
      <c r="J168" s="562"/>
      <c r="K168" s="562"/>
      <c r="L168" s="562"/>
      <c r="M168" s="559"/>
      <c r="N168" s="249"/>
      <c r="O168" s="249"/>
    </row>
    <row r="169" spans="1:15">
      <c r="A169" s="559"/>
      <c r="B169" s="560"/>
      <c r="C169" s="251"/>
      <c r="D169" s="564"/>
      <c r="E169" s="561"/>
      <c r="F169" s="251"/>
      <c r="G169" s="562"/>
      <c r="H169" s="562"/>
      <c r="I169" s="562"/>
      <c r="J169" s="562"/>
      <c r="K169" s="562"/>
      <c r="L169" s="562"/>
      <c r="M169" s="559"/>
      <c r="N169" s="249"/>
      <c r="O169" s="249"/>
    </row>
    <row r="170" spans="1:15">
      <c r="A170" s="559"/>
      <c r="B170" s="560"/>
      <c r="C170" s="251"/>
      <c r="D170" s="565"/>
      <c r="E170" s="561"/>
      <c r="F170" s="251"/>
      <c r="G170" s="562"/>
      <c r="H170" s="562"/>
      <c r="I170" s="562"/>
      <c r="J170" s="562"/>
      <c r="K170" s="562"/>
      <c r="L170" s="562"/>
      <c r="M170" s="559"/>
      <c r="N170" s="249"/>
      <c r="O170" s="249"/>
    </row>
    <row r="171" spans="1:15">
      <c r="A171" s="559"/>
      <c r="B171" s="560"/>
      <c r="C171" s="251"/>
      <c r="D171" s="565"/>
      <c r="E171" s="561"/>
      <c r="F171" s="251"/>
      <c r="G171" s="562"/>
      <c r="H171" s="562"/>
      <c r="I171" s="562"/>
      <c r="J171" s="562"/>
      <c r="K171" s="562"/>
      <c r="L171" s="562"/>
      <c r="M171" s="559"/>
      <c r="N171" s="249"/>
      <c r="O171" s="249"/>
    </row>
    <row r="172" spans="1:15">
      <c r="A172" s="559"/>
      <c r="B172" s="560"/>
      <c r="C172" s="251"/>
      <c r="D172" s="258"/>
      <c r="E172" s="561"/>
      <c r="F172" s="251"/>
      <c r="G172" s="562"/>
      <c r="H172" s="562"/>
      <c r="I172" s="562"/>
      <c r="J172" s="562"/>
      <c r="K172" s="562"/>
      <c r="L172" s="562"/>
      <c r="M172" s="559"/>
      <c r="N172" s="249"/>
      <c r="O172" s="249"/>
    </row>
    <row r="173" spans="1:15">
      <c r="A173" s="559"/>
      <c r="B173" s="560"/>
      <c r="C173" s="251"/>
      <c r="D173" s="258"/>
      <c r="E173" s="561"/>
      <c r="F173" s="251"/>
      <c r="G173" s="562"/>
      <c r="H173" s="562"/>
      <c r="I173" s="562"/>
      <c r="J173" s="562"/>
      <c r="K173" s="562"/>
      <c r="L173" s="562"/>
      <c r="M173" s="559"/>
      <c r="N173" s="249"/>
      <c r="O173" s="249"/>
    </row>
    <row r="174" spans="1:15">
      <c r="A174" s="559"/>
      <c r="B174" s="560"/>
      <c r="C174" s="251"/>
      <c r="D174" s="561"/>
      <c r="E174" s="561"/>
      <c r="F174" s="251"/>
      <c r="G174" s="562"/>
      <c r="H174" s="562"/>
      <c r="I174" s="562"/>
      <c r="J174" s="562"/>
      <c r="K174" s="562"/>
      <c r="L174" s="562"/>
      <c r="M174" s="559"/>
      <c r="N174" s="249"/>
      <c r="O174" s="249"/>
    </row>
    <row r="175" spans="1:15">
      <c r="A175" s="559"/>
      <c r="B175" s="560"/>
      <c r="C175" s="251"/>
      <c r="D175" s="561"/>
      <c r="E175" s="561"/>
      <c r="F175" s="251"/>
      <c r="G175" s="562"/>
      <c r="H175" s="562"/>
      <c r="I175" s="562"/>
      <c r="J175" s="562"/>
      <c r="K175" s="562"/>
      <c r="L175" s="562"/>
      <c r="M175" s="559"/>
      <c r="N175" s="249"/>
      <c r="O175" s="249"/>
    </row>
    <row r="176" spans="1:15">
      <c r="A176" s="559"/>
      <c r="B176" s="560"/>
      <c r="C176" s="251"/>
      <c r="D176" s="561"/>
      <c r="E176" s="561"/>
      <c r="F176" s="251"/>
      <c r="G176" s="562"/>
      <c r="H176" s="562"/>
      <c r="I176" s="562"/>
      <c r="J176" s="562"/>
      <c r="K176" s="562"/>
      <c r="L176" s="562"/>
      <c r="M176" s="559"/>
      <c r="N176" s="249"/>
      <c r="O176" s="249"/>
    </row>
    <row r="177" spans="1:15">
      <c r="A177" s="559"/>
      <c r="B177" s="560"/>
      <c r="C177" s="251"/>
      <c r="D177" s="561"/>
      <c r="E177" s="561"/>
      <c r="F177" s="251"/>
      <c r="G177" s="562"/>
      <c r="H177" s="562"/>
      <c r="I177" s="562"/>
      <c r="J177" s="562"/>
      <c r="K177" s="562"/>
      <c r="L177" s="562"/>
      <c r="M177" s="559"/>
      <c r="N177" s="249"/>
      <c r="O177" s="249"/>
    </row>
    <row r="178" spans="1:15">
      <c r="A178" s="559"/>
      <c r="B178" s="560"/>
      <c r="C178" s="254"/>
      <c r="D178" s="564"/>
      <c r="E178" s="561"/>
      <c r="F178" s="251"/>
      <c r="G178" s="562"/>
      <c r="H178" s="562"/>
      <c r="I178" s="562"/>
      <c r="J178" s="562"/>
      <c r="K178" s="562"/>
      <c r="L178" s="562"/>
      <c r="M178" s="559"/>
      <c r="N178" s="249"/>
      <c r="O178" s="249"/>
    </row>
    <row r="179" spans="1:15">
      <c r="A179" s="559"/>
      <c r="B179" s="560"/>
      <c r="C179" s="562"/>
      <c r="D179" s="564"/>
      <c r="E179" s="561"/>
      <c r="F179" s="251"/>
      <c r="G179" s="562"/>
      <c r="H179" s="562"/>
      <c r="I179" s="562"/>
      <c r="J179" s="562"/>
      <c r="K179" s="562"/>
      <c r="L179" s="562"/>
      <c r="M179" s="559"/>
      <c r="N179" s="249"/>
      <c r="O179" s="249"/>
    </row>
    <row r="180" spans="1:15">
      <c r="A180" s="559"/>
      <c r="B180" s="251"/>
      <c r="C180" s="566"/>
      <c r="D180" s="567"/>
      <c r="E180" s="592"/>
      <c r="F180" s="254"/>
      <c r="G180" s="295"/>
      <c r="H180" s="562"/>
      <c r="I180" s="562"/>
      <c r="J180" s="562"/>
      <c r="K180" s="562"/>
      <c r="L180" s="562"/>
      <c r="M180" s="559"/>
      <c r="N180" s="249"/>
      <c r="O180" s="249"/>
    </row>
    <row r="181" spans="1:15">
      <c r="A181" s="251"/>
      <c r="B181" s="592"/>
      <c r="C181" s="592"/>
      <c r="D181" s="592"/>
      <c r="E181" s="592"/>
      <c r="F181" s="592"/>
      <c r="G181" s="592"/>
      <c r="H181" s="592"/>
      <c r="I181" s="592"/>
      <c r="J181" s="592"/>
      <c r="K181" s="592"/>
      <c r="L181" s="592"/>
      <c r="M181" s="251"/>
      <c r="N181" s="249"/>
      <c r="O181" s="249"/>
    </row>
    <row r="182" spans="1:15">
      <c r="A182" s="251"/>
      <c r="B182" s="560"/>
      <c r="C182" s="561"/>
      <c r="D182" s="561"/>
      <c r="E182" s="251"/>
      <c r="F182" s="251"/>
      <c r="G182" s="562"/>
      <c r="H182" s="562"/>
      <c r="I182" s="562"/>
      <c r="J182" s="562"/>
      <c r="K182" s="562"/>
      <c r="L182" s="562"/>
      <c r="M182" s="251"/>
      <c r="N182" s="249"/>
      <c r="O182" s="249"/>
    </row>
    <row r="183" spans="1:15">
      <c r="A183" s="251"/>
      <c r="B183" s="251"/>
      <c r="C183" s="562"/>
      <c r="D183" s="258"/>
      <c r="E183" s="561"/>
      <c r="F183" s="251"/>
      <c r="G183" s="562"/>
      <c r="H183" s="562"/>
      <c r="I183" s="562"/>
      <c r="J183" s="562"/>
      <c r="K183" s="562"/>
      <c r="L183" s="562"/>
      <c r="M183" s="251"/>
      <c r="N183" s="249"/>
      <c r="O183" s="249"/>
    </row>
    <row r="184" spans="1:15">
      <c r="A184" s="251"/>
      <c r="B184" s="251"/>
      <c r="C184" s="562"/>
      <c r="D184" s="561"/>
      <c r="E184" s="561"/>
      <c r="F184" s="251"/>
      <c r="G184" s="562"/>
      <c r="H184" s="562"/>
      <c r="I184" s="562"/>
      <c r="J184" s="562"/>
      <c r="K184" s="562"/>
      <c r="L184" s="562"/>
      <c r="M184" s="251"/>
      <c r="N184" s="249"/>
      <c r="O184" s="249"/>
    </row>
    <row r="185" spans="1:15">
      <c r="A185" s="251"/>
      <c r="B185" s="251"/>
      <c r="C185" s="562"/>
      <c r="D185" s="561"/>
      <c r="E185" s="561"/>
      <c r="F185" s="251"/>
      <c r="G185" s="562"/>
      <c r="H185" s="562"/>
      <c r="I185" s="562"/>
      <c r="J185" s="562"/>
      <c r="K185" s="562"/>
      <c r="L185" s="562"/>
      <c r="M185" s="251"/>
      <c r="N185" s="249"/>
      <c r="O185" s="249"/>
    </row>
    <row r="186" spans="1:15">
      <c r="A186" s="251"/>
      <c r="B186" s="251"/>
      <c r="C186" s="569"/>
      <c r="D186" s="564"/>
      <c r="E186" s="561"/>
      <c r="F186" s="251"/>
      <c r="G186" s="562"/>
      <c r="H186" s="562"/>
      <c r="I186" s="562"/>
      <c r="J186" s="562"/>
      <c r="K186" s="562"/>
      <c r="L186" s="562"/>
      <c r="M186" s="251"/>
      <c r="N186" s="249"/>
      <c r="O186" s="249"/>
    </row>
    <row r="187" spans="1:15">
      <c r="A187" s="251"/>
      <c r="B187" s="251"/>
      <c r="C187" s="569"/>
      <c r="D187" s="564"/>
      <c r="E187" s="561"/>
      <c r="F187" s="251"/>
      <c r="G187" s="562"/>
      <c r="H187" s="562"/>
      <c r="I187" s="562"/>
      <c r="J187" s="562"/>
      <c r="K187" s="562"/>
      <c r="L187" s="562"/>
      <c r="M187" s="251"/>
      <c r="N187" s="249"/>
      <c r="O187" s="249"/>
    </row>
    <row r="188" spans="1:15">
      <c r="A188" s="251"/>
      <c r="B188" s="251"/>
      <c r="C188" s="569"/>
      <c r="D188" s="564"/>
      <c r="E188" s="561"/>
      <c r="F188" s="251"/>
      <c r="G188" s="562"/>
      <c r="H188" s="562"/>
      <c r="I188" s="562"/>
      <c r="J188" s="562"/>
      <c r="K188" s="562"/>
      <c r="L188" s="562"/>
      <c r="M188" s="251"/>
      <c r="N188" s="249"/>
      <c r="O188" s="249"/>
    </row>
    <row r="189" spans="1:15">
      <c r="A189" s="251"/>
      <c r="B189" s="251"/>
      <c r="C189" s="562"/>
      <c r="D189" s="258"/>
      <c r="E189" s="561"/>
      <c r="F189" s="251"/>
      <c r="G189" s="562"/>
      <c r="H189" s="562"/>
      <c r="I189" s="562"/>
      <c r="J189" s="562"/>
      <c r="K189" s="562"/>
      <c r="L189" s="562"/>
      <c r="M189" s="251"/>
      <c r="N189" s="249"/>
      <c r="O189" s="249"/>
    </row>
    <row r="190" spans="1:15">
      <c r="A190" s="251"/>
      <c r="B190" s="251"/>
      <c r="C190" s="251"/>
      <c r="D190" s="564"/>
      <c r="E190" s="561"/>
      <c r="F190" s="251"/>
      <c r="G190" s="562"/>
      <c r="H190" s="562"/>
      <c r="I190" s="562"/>
      <c r="J190" s="562"/>
      <c r="K190" s="562"/>
      <c r="L190" s="562"/>
      <c r="M190" s="251"/>
      <c r="N190" s="249"/>
      <c r="O190" s="249"/>
    </row>
    <row r="191" spans="1:15">
      <c r="A191" s="251"/>
      <c r="B191" s="251"/>
      <c r="C191" s="562"/>
      <c r="D191" s="258"/>
      <c r="E191" s="561"/>
      <c r="F191" s="251"/>
      <c r="G191" s="562"/>
      <c r="H191" s="562"/>
      <c r="I191" s="562"/>
      <c r="J191" s="562"/>
      <c r="K191" s="562"/>
      <c r="L191" s="562"/>
      <c r="M191" s="251"/>
      <c r="N191" s="249"/>
      <c r="O191" s="249"/>
    </row>
    <row r="192" spans="1:15">
      <c r="A192" s="251"/>
      <c r="B192" s="251"/>
      <c r="C192" s="562"/>
      <c r="D192" s="564"/>
      <c r="E192" s="561"/>
      <c r="F192" s="251"/>
      <c r="G192" s="562"/>
      <c r="H192" s="562"/>
      <c r="I192" s="562"/>
      <c r="J192" s="562"/>
      <c r="K192" s="562"/>
      <c r="L192" s="562"/>
      <c r="M192" s="251"/>
      <c r="N192" s="249"/>
      <c r="O192" s="249"/>
    </row>
    <row r="193" spans="1:15">
      <c r="A193" s="251"/>
      <c r="B193" s="251"/>
      <c r="C193" s="566"/>
      <c r="D193" s="567"/>
      <c r="E193" s="592"/>
      <c r="F193" s="254"/>
      <c r="G193" s="295"/>
      <c r="H193" s="562"/>
      <c r="I193" s="562"/>
      <c r="J193" s="562"/>
      <c r="K193" s="562"/>
      <c r="L193" s="562"/>
      <c r="M193" s="251"/>
      <c r="N193" s="249"/>
      <c r="O193" s="249"/>
    </row>
    <row r="194" spans="1:15">
      <c r="A194" s="251"/>
      <c r="B194" s="592"/>
      <c r="C194" s="592"/>
      <c r="D194" s="592"/>
      <c r="E194" s="592"/>
      <c r="F194" s="592"/>
      <c r="G194" s="592"/>
      <c r="H194" s="592"/>
      <c r="I194" s="592"/>
      <c r="J194" s="592"/>
      <c r="K194" s="592"/>
      <c r="L194" s="592"/>
      <c r="M194" s="251"/>
      <c r="N194" s="249"/>
      <c r="O194" s="249"/>
    </row>
    <row r="195" spans="1:15">
      <c r="A195" s="939"/>
      <c r="B195" s="939"/>
      <c r="C195" s="939"/>
      <c r="D195" s="939"/>
      <c r="E195" s="939"/>
      <c r="F195" s="939"/>
      <c r="G195" s="939"/>
      <c r="H195" s="939"/>
      <c r="I195" s="939"/>
      <c r="J195" s="939"/>
      <c r="K195" s="939"/>
      <c r="L195" s="939"/>
      <c r="M195" s="939"/>
      <c r="N195" s="249"/>
      <c r="O195" s="249"/>
    </row>
    <row r="196" spans="1:15">
      <c r="A196" s="562"/>
      <c r="B196" s="571"/>
      <c r="C196" s="572"/>
      <c r="D196" s="562"/>
      <c r="E196" s="562"/>
      <c r="F196" s="562"/>
      <c r="G196" s="562"/>
      <c r="H196" s="562"/>
      <c r="I196" s="562"/>
      <c r="J196" s="562"/>
      <c r="K196" s="562"/>
      <c r="L196" s="562"/>
      <c r="M196" s="563"/>
      <c r="N196" s="249"/>
      <c r="O196" s="249"/>
    </row>
    <row r="197" spans="1:15">
      <c r="A197" s="562"/>
      <c r="B197" s="251"/>
      <c r="C197" s="562"/>
      <c r="D197" s="258"/>
      <c r="E197" s="561"/>
      <c r="F197" s="251"/>
      <c r="G197" s="562"/>
      <c r="H197" s="562"/>
      <c r="I197" s="562"/>
      <c r="J197" s="562"/>
      <c r="K197" s="562"/>
      <c r="L197" s="562"/>
      <c r="M197" s="563"/>
      <c r="N197" s="249"/>
      <c r="O197" s="249"/>
    </row>
    <row r="198" spans="1:15">
      <c r="A198" s="562"/>
      <c r="B198" s="251"/>
      <c r="C198" s="251"/>
      <c r="D198" s="564"/>
      <c r="E198" s="561"/>
      <c r="F198" s="251"/>
      <c r="G198" s="562"/>
      <c r="H198" s="562"/>
      <c r="I198" s="562"/>
      <c r="J198" s="562"/>
      <c r="K198" s="562"/>
      <c r="L198" s="562"/>
      <c r="M198" s="563"/>
      <c r="N198" s="249"/>
      <c r="O198" s="249"/>
    </row>
    <row r="199" spans="1:15">
      <c r="A199" s="562"/>
      <c r="B199" s="251"/>
      <c r="C199" s="562"/>
      <c r="D199" s="564"/>
      <c r="E199" s="561"/>
      <c r="F199" s="251"/>
      <c r="G199" s="562"/>
      <c r="H199" s="562"/>
      <c r="I199" s="562"/>
      <c r="J199" s="562"/>
      <c r="K199" s="562"/>
      <c r="L199" s="562"/>
      <c r="M199" s="563"/>
      <c r="N199" s="249"/>
      <c r="O199" s="249"/>
    </row>
    <row r="200" spans="1:15">
      <c r="A200" s="562"/>
      <c r="B200" s="251"/>
      <c r="C200" s="562"/>
      <c r="D200" s="564"/>
      <c r="E200" s="561"/>
      <c r="F200" s="251"/>
      <c r="G200" s="562"/>
      <c r="H200" s="562"/>
      <c r="I200" s="562"/>
      <c r="J200" s="562"/>
      <c r="K200" s="562"/>
      <c r="L200" s="562"/>
      <c r="M200" s="563"/>
      <c r="N200" s="249"/>
      <c r="O200" s="249"/>
    </row>
    <row r="201" spans="1:15">
      <c r="A201" s="562"/>
      <c r="B201" s="251"/>
      <c r="C201" s="566"/>
      <c r="D201" s="567"/>
      <c r="E201" s="592"/>
      <c r="F201" s="254"/>
      <c r="G201" s="295"/>
      <c r="H201" s="562"/>
      <c r="I201" s="562"/>
      <c r="J201" s="562"/>
      <c r="K201" s="562"/>
      <c r="L201" s="562"/>
      <c r="M201" s="563"/>
      <c r="N201" s="249"/>
      <c r="O201" s="249"/>
    </row>
    <row r="202" spans="1:15">
      <c r="A202" s="251"/>
      <c r="B202" s="592"/>
      <c r="C202" s="592"/>
      <c r="D202" s="592"/>
      <c r="E202" s="592"/>
      <c r="F202" s="592"/>
      <c r="G202" s="592"/>
      <c r="H202" s="592"/>
      <c r="I202" s="592"/>
      <c r="J202" s="592"/>
      <c r="K202" s="592"/>
      <c r="L202" s="592"/>
      <c r="M202" s="559"/>
      <c r="N202" s="249"/>
      <c r="O202" s="249"/>
    </row>
    <row r="203" spans="1:15">
      <c r="A203" s="562"/>
      <c r="B203" s="560"/>
      <c r="C203" s="251"/>
      <c r="D203" s="251"/>
      <c r="E203" s="251"/>
      <c r="F203" s="562"/>
      <c r="G203" s="562"/>
      <c r="H203" s="562"/>
      <c r="I203" s="562"/>
      <c r="J203" s="562"/>
      <c r="K203" s="562"/>
      <c r="L203" s="562"/>
      <c r="M203" s="563"/>
      <c r="N203" s="249"/>
      <c r="O203" s="249"/>
    </row>
    <row r="204" spans="1:15">
      <c r="A204" s="562"/>
      <c r="B204" s="251"/>
      <c r="C204" s="251"/>
      <c r="D204" s="258"/>
      <c r="E204" s="561"/>
      <c r="F204" s="251"/>
      <c r="G204" s="251"/>
      <c r="H204" s="562"/>
      <c r="I204" s="562"/>
      <c r="J204" s="562"/>
      <c r="K204" s="562"/>
      <c r="L204" s="562"/>
      <c r="M204" s="562"/>
      <c r="N204" s="249"/>
      <c r="O204" s="249"/>
    </row>
    <row r="205" spans="1:15" ht="140.25" customHeight="1">
      <c r="A205" s="251"/>
      <c r="B205" s="251"/>
      <c r="C205" s="562"/>
      <c r="D205" s="258"/>
      <c r="E205" s="561"/>
      <c r="F205" s="251"/>
      <c r="G205" s="251"/>
      <c r="H205" s="573"/>
      <c r="I205" s="573"/>
      <c r="J205" s="573"/>
      <c r="K205" s="573"/>
      <c r="L205" s="573"/>
      <c r="M205" s="251"/>
      <c r="N205" s="249"/>
      <c r="O205" s="249"/>
    </row>
    <row r="206" spans="1:15" ht="3.75" hidden="1" customHeight="1">
      <c r="A206" s="251"/>
      <c r="B206" s="251"/>
      <c r="C206" s="251"/>
      <c r="D206" s="564"/>
      <c r="E206" s="561"/>
      <c r="F206" s="251"/>
      <c r="G206" s="251"/>
      <c r="H206" s="562"/>
      <c r="I206" s="258"/>
      <c r="J206" s="258"/>
      <c r="K206" s="258"/>
      <c r="L206" s="251"/>
      <c r="M206" s="251"/>
      <c r="N206" s="249"/>
      <c r="O206" s="249"/>
    </row>
    <row r="207" spans="1:15">
      <c r="A207" s="251"/>
      <c r="B207" s="251"/>
      <c r="C207" s="251"/>
      <c r="D207" s="258"/>
      <c r="E207" s="561"/>
      <c r="F207" s="251"/>
      <c r="G207" s="562"/>
      <c r="H207" s="562"/>
      <c r="I207" s="258"/>
      <c r="J207" s="258"/>
      <c r="K207" s="258"/>
      <c r="L207" s="251"/>
      <c r="M207" s="251"/>
      <c r="N207" s="249"/>
      <c r="O207" s="249"/>
    </row>
    <row r="208" spans="1:15">
      <c r="A208" s="251"/>
      <c r="B208" s="251"/>
      <c r="C208" s="562"/>
      <c r="D208" s="258"/>
      <c r="E208" s="561"/>
      <c r="F208" s="251"/>
      <c r="G208" s="562"/>
      <c r="H208" s="562"/>
      <c r="I208" s="258"/>
      <c r="J208" s="258"/>
      <c r="K208" s="258"/>
      <c r="L208" s="251"/>
      <c r="M208" s="251"/>
      <c r="N208" s="249"/>
      <c r="O208" s="249"/>
    </row>
    <row r="209" spans="1:15">
      <c r="A209" s="251"/>
      <c r="B209" s="251"/>
      <c r="C209" s="566"/>
      <c r="D209" s="567"/>
      <c r="E209" s="592"/>
      <c r="F209" s="254"/>
      <c r="G209" s="295"/>
      <c r="H209" s="562"/>
      <c r="I209" s="258"/>
      <c r="J209" s="258"/>
      <c r="K209" s="258"/>
      <c r="L209" s="251"/>
      <c r="M209" s="251"/>
      <c r="N209" s="249"/>
      <c r="O209" s="249"/>
    </row>
    <row r="210" spans="1:15">
      <c r="A210" s="251"/>
      <c r="B210" s="592"/>
      <c r="C210" s="592"/>
      <c r="D210" s="592"/>
      <c r="E210" s="592"/>
      <c r="F210" s="592"/>
      <c r="G210" s="592"/>
      <c r="H210" s="592"/>
      <c r="I210" s="592"/>
      <c r="J210" s="592"/>
      <c r="K210" s="592"/>
      <c r="L210" s="592"/>
      <c r="M210" s="251"/>
      <c r="N210" s="249"/>
      <c r="O210" s="249"/>
    </row>
    <row r="211" spans="1:15">
      <c r="A211" s="939"/>
      <c r="B211" s="939"/>
      <c r="C211" s="939"/>
      <c r="D211" s="939"/>
      <c r="E211" s="939"/>
      <c r="F211" s="939"/>
      <c r="G211" s="939"/>
      <c r="H211" s="939"/>
      <c r="I211" s="939"/>
      <c r="J211" s="939"/>
      <c r="K211" s="939"/>
      <c r="L211" s="939"/>
      <c r="M211" s="939"/>
      <c r="N211" s="249"/>
      <c r="O211" s="249"/>
    </row>
    <row r="212" spans="1:15">
      <c r="A212" s="251"/>
      <c r="B212" s="251"/>
      <c r="C212" s="569"/>
      <c r="D212" s="258"/>
      <c r="E212" s="561"/>
      <c r="F212" s="251"/>
      <c r="G212" s="562"/>
      <c r="H212" s="565"/>
      <c r="I212" s="251"/>
      <c r="J212" s="251"/>
      <c r="K212" s="251"/>
      <c r="L212" s="251"/>
      <c r="M212" s="251"/>
      <c r="N212" s="249"/>
      <c r="O212" s="249"/>
    </row>
    <row r="213" spans="1:15">
      <c r="A213" s="559"/>
      <c r="B213" s="251"/>
      <c r="C213" s="569"/>
      <c r="D213" s="564"/>
      <c r="E213" s="561"/>
      <c r="F213" s="251"/>
      <c r="G213" s="562"/>
      <c r="H213" s="565"/>
      <c r="I213" s="251"/>
      <c r="J213" s="251"/>
      <c r="K213" s="251"/>
      <c r="L213" s="251"/>
      <c r="M213" s="559"/>
      <c r="N213" s="249"/>
      <c r="O213" s="249"/>
    </row>
    <row r="214" spans="1:15">
      <c r="A214" s="559"/>
      <c r="B214" s="251"/>
      <c r="C214" s="569"/>
      <c r="D214" s="564"/>
      <c r="E214" s="561"/>
      <c r="F214" s="251"/>
      <c r="G214" s="562"/>
      <c r="H214" s="565"/>
      <c r="I214" s="251"/>
      <c r="J214" s="251"/>
      <c r="K214" s="251"/>
      <c r="L214" s="251"/>
      <c r="M214" s="559"/>
      <c r="N214" s="249"/>
      <c r="O214" s="249"/>
    </row>
    <row r="215" spans="1:15">
      <c r="A215" s="559"/>
      <c r="B215" s="251"/>
      <c r="C215" s="569"/>
      <c r="D215" s="258"/>
      <c r="E215" s="561"/>
      <c r="F215" s="251"/>
      <c r="G215" s="251"/>
      <c r="H215" s="565"/>
      <c r="I215" s="251"/>
      <c r="J215" s="251"/>
      <c r="K215" s="251"/>
      <c r="L215" s="251"/>
      <c r="M215" s="559"/>
      <c r="N215" s="249"/>
      <c r="O215" s="249"/>
    </row>
    <row r="216" spans="1:15">
      <c r="A216" s="559"/>
      <c r="B216" s="251"/>
      <c r="C216" s="566"/>
      <c r="D216" s="567"/>
      <c r="E216" s="592"/>
      <c r="F216" s="254"/>
      <c r="G216" s="254"/>
      <c r="H216" s="565"/>
      <c r="I216" s="251"/>
      <c r="J216" s="251"/>
      <c r="K216" s="251"/>
      <c r="L216" s="251"/>
      <c r="M216" s="559"/>
      <c r="N216" s="249"/>
      <c r="O216" s="249"/>
    </row>
    <row r="217" spans="1:15">
      <c r="A217" s="559"/>
      <c r="B217" s="251"/>
      <c r="C217" s="569"/>
      <c r="D217" s="258"/>
      <c r="E217" s="561"/>
      <c r="F217" s="251"/>
      <c r="G217" s="562"/>
      <c r="H217" s="565"/>
      <c r="I217" s="251"/>
      <c r="J217" s="251"/>
      <c r="K217" s="251"/>
      <c r="L217" s="251"/>
      <c r="M217" s="559"/>
      <c r="N217" s="249"/>
      <c r="O217" s="249"/>
    </row>
    <row r="218" spans="1:15">
      <c r="A218" s="938"/>
      <c r="B218" s="938"/>
      <c r="C218" s="938"/>
      <c r="D218" s="938"/>
      <c r="E218" s="938"/>
      <c r="F218" s="938"/>
      <c r="G218" s="938"/>
      <c r="H218" s="938"/>
      <c r="I218" s="938"/>
      <c r="J218" s="938"/>
      <c r="K218" s="938"/>
      <c r="L218" s="938"/>
      <c r="M218" s="938"/>
      <c r="N218" s="249"/>
      <c r="O218" s="249"/>
    </row>
    <row r="219" spans="1:15">
      <c r="A219" s="559"/>
      <c r="B219" s="568"/>
      <c r="C219" s="568"/>
      <c r="D219" s="568"/>
      <c r="E219" s="568"/>
      <c r="F219" s="568"/>
      <c r="G219" s="568"/>
      <c r="H219" s="568"/>
      <c r="I219" s="568"/>
      <c r="J219" s="568"/>
      <c r="K219" s="568"/>
      <c r="L219" s="568"/>
      <c r="M219" s="559"/>
      <c r="N219" s="249"/>
      <c r="O219" s="249"/>
    </row>
    <row r="220" spans="1:15">
      <c r="A220" s="939"/>
      <c r="B220" s="939"/>
      <c r="C220" s="939"/>
      <c r="D220" s="939"/>
      <c r="E220" s="939"/>
      <c r="F220" s="939"/>
      <c r="G220" s="939"/>
      <c r="H220" s="939"/>
      <c r="I220" s="939"/>
      <c r="J220" s="939"/>
      <c r="K220" s="939"/>
      <c r="L220" s="939"/>
      <c r="M220" s="939"/>
      <c r="N220" s="249"/>
      <c r="O220" s="249"/>
    </row>
    <row r="221" spans="1:15">
      <c r="A221" s="251"/>
      <c r="B221" s="573"/>
      <c r="C221" s="474"/>
      <c r="D221" s="474"/>
      <c r="E221" s="474"/>
      <c r="F221" s="251"/>
      <c r="G221" s="562"/>
      <c r="H221" s="562"/>
      <c r="I221" s="562"/>
      <c r="J221" s="562"/>
      <c r="K221" s="562"/>
      <c r="L221" s="562"/>
      <c r="M221" s="251"/>
      <c r="N221" s="249"/>
      <c r="O221" s="249"/>
    </row>
    <row r="222" spans="1:15">
      <c r="A222" s="251"/>
      <c r="B222" s="251"/>
      <c r="C222" s="562"/>
      <c r="D222" s="564"/>
      <c r="E222" s="561"/>
      <c r="F222" s="251"/>
      <c r="G222" s="562"/>
      <c r="H222" s="562"/>
      <c r="I222" s="562"/>
      <c r="J222" s="562"/>
      <c r="K222" s="562"/>
      <c r="L222" s="562"/>
      <c r="M222" s="251"/>
      <c r="N222" s="249"/>
      <c r="O222" s="249"/>
    </row>
    <row r="223" spans="1:15">
      <c r="A223" s="251"/>
      <c r="B223" s="251"/>
      <c r="C223" s="251"/>
      <c r="D223" s="564"/>
      <c r="E223" s="561"/>
      <c r="F223" s="251"/>
      <c r="G223" s="562"/>
      <c r="H223" s="562"/>
      <c r="I223" s="562"/>
      <c r="J223" s="562"/>
      <c r="K223" s="562"/>
      <c r="L223" s="562"/>
      <c r="M223" s="251"/>
      <c r="N223" s="249"/>
      <c r="O223" s="249"/>
    </row>
    <row r="224" spans="1:15">
      <c r="A224" s="251"/>
      <c r="B224" s="251"/>
      <c r="C224" s="562"/>
      <c r="D224" s="258"/>
      <c r="E224" s="561"/>
      <c r="F224" s="251"/>
      <c r="G224" s="562"/>
      <c r="H224" s="562"/>
      <c r="I224" s="562"/>
      <c r="J224" s="562"/>
      <c r="K224" s="562"/>
      <c r="L224" s="562"/>
      <c r="M224" s="251"/>
      <c r="N224" s="249"/>
      <c r="O224" s="249"/>
    </row>
    <row r="225" spans="1:15">
      <c r="A225" s="251"/>
      <c r="B225" s="251"/>
      <c r="C225" s="562"/>
      <c r="D225" s="564"/>
      <c r="E225" s="561"/>
      <c r="F225" s="251"/>
      <c r="G225" s="562"/>
      <c r="H225" s="562"/>
      <c r="I225" s="562"/>
      <c r="J225" s="562"/>
      <c r="K225" s="562"/>
      <c r="L225" s="562"/>
      <c r="M225" s="251"/>
      <c r="N225" s="249"/>
      <c r="O225" s="249"/>
    </row>
    <row r="226" spans="1:15">
      <c r="A226" s="251"/>
      <c r="B226" s="251"/>
      <c r="C226" s="566"/>
      <c r="D226" s="567"/>
      <c r="E226" s="592"/>
      <c r="F226" s="254"/>
      <c r="G226" s="295"/>
      <c r="H226" s="562"/>
      <c r="I226" s="562"/>
      <c r="J226" s="562"/>
      <c r="K226" s="562"/>
      <c r="L226" s="562"/>
      <c r="M226" s="251"/>
      <c r="N226" s="249"/>
      <c r="O226" s="249"/>
    </row>
    <row r="227" spans="1:15">
      <c r="A227" s="559"/>
      <c r="B227" s="592"/>
      <c r="C227" s="592"/>
      <c r="D227" s="592"/>
      <c r="E227" s="592"/>
      <c r="F227" s="592"/>
      <c r="G227" s="592"/>
      <c r="H227" s="592"/>
      <c r="I227" s="592"/>
      <c r="J227" s="592"/>
      <c r="K227" s="592"/>
      <c r="L227" s="568"/>
      <c r="M227" s="559"/>
      <c r="N227" s="249"/>
      <c r="O227" s="249"/>
    </row>
    <row r="228" spans="1:15">
      <c r="A228" s="559"/>
      <c r="B228" s="560"/>
      <c r="C228" s="561"/>
      <c r="D228" s="561"/>
      <c r="E228" s="251"/>
      <c r="F228" s="251"/>
      <c r="G228" s="562"/>
      <c r="H228" s="562"/>
      <c r="I228" s="562"/>
      <c r="J228" s="562"/>
      <c r="K228" s="562"/>
      <c r="L228" s="563"/>
      <c r="M228" s="559"/>
      <c r="N228" s="249"/>
      <c r="O228" s="249"/>
    </row>
    <row r="229" spans="1:15">
      <c r="A229" s="559"/>
      <c r="B229" s="560"/>
      <c r="C229" s="251"/>
      <c r="D229" s="258"/>
      <c r="E229" s="561"/>
      <c r="F229" s="251"/>
      <c r="G229" s="562"/>
      <c r="H229" s="562"/>
      <c r="I229" s="562"/>
      <c r="J229" s="562"/>
      <c r="K229" s="562"/>
      <c r="L229" s="563"/>
      <c r="M229" s="559"/>
      <c r="N229" s="249"/>
      <c r="O229" s="249"/>
    </row>
    <row r="230" spans="1:15">
      <c r="A230" s="559"/>
      <c r="B230" s="560"/>
      <c r="C230" s="251"/>
      <c r="D230" s="564"/>
      <c r="E230" s="561"/>
      <c r="F230" s="251"/>
      <c r="G230" s="562"/>
      <c r="H230" s="562"/>
      <c r="I230" s="562"/>
      <c r="J230" s="562"/>
      <c r="K230" s="562"/>
      <c r="L230" s="563"/>
      <c r="M230" s="559"/>
      <c r="N230" s="249"/>
      <c r="O230" s="249"/>
    </row>
    <row r="231" spans="1:15">
      <c r="A231" s="559"/>
      <c r="B231" s="560"/>
      <c r="C231" s="251"/>
      <c r="D231" s="258"/>
      <c r="E231" s="561"/>
      <c r="F231" s="251"/>
      <c r="G231" s="562"/>
      <c r="H231" s="562"/>
      <c r="I231" s="562"/>
      <c r="J231" s="562"/>
      <c r="K231" s="562"/>
      <c r="L231" s="563"/>
      <c r="M231" s="559"/>
      <c r="N231" s="249"/>
      <c r="O231" s="249"/>
    </row>
    <row r="232" spans="1:15">
      <c r="A232" s="559"/>
      <c r="B232" s="560"/>
      <c r="C232" s="251"/>
      <c r="D232" s="564"/>
      <c r="E232" s="561"/>
      <c r="F232" s="251"/>
      <c r="G232" s="562"/>
      <c r="H232" s="562"/>
      <c r="I232" s="562"/>
      <c r="J232" s="562"/>
      <c r="K232" s="562"/>
      <c r="L232" s="563"/>
      <c r="M232" s="559"/>
      <c r="N232" s="249"/>
      <c r="O232" s="249"/>
    </row>
    <row r="233" spans="1:15">
      <c r="A233" s="559"/>
      <c r="B233" s="560"/>
      <c r="C233" s="562"/>
      <c r="D233" s="564"/>
      <c r="E233" s="561"/>
      <c r="F233" s="251"/>
      <c r="G233" s="562"/>
      <c r="H233" s="562"/>
      <c r="I233" s="562"/>
      <c r="J233" s="562"/>
      <c r="K233" s="562"/>
      <c r="L233" s="563"/>
      <c r="M233" s="559"/>
      <c r="N233" s="249"/>
      <c r="O233" s="249"/>
    </row>
    <row r="234" spans="1:15">
      <c r="A234" s="559"/>
      <c r="B234" s="251"/>
      <c r="C234" s="566"/>
      <c r="D234" s="567"/>
      <c r="E234" s="592"/>
      <c r="F234" s="254"/>
      <c r="G234" s="295"/>
      <c r="H234" s="562"/>
      <c r="I234" s="562"/>
      <c r="J234" s="562"/>
      <c r="K234" s="562"/>
      <c r="L234" s="563"/>
      <c r="M234" s="559"/>
      <c r="N234" s="249"/>
      <c r="O234" s="249"/>
    </row>
    <row r="235" spans="1:15">
      <c r="A235" s="559"/>
      <c r="B235" s="592"/>
      <c r="C235" s="592"/>
      <c r="D235" s="592"/>
      <c r="E235" s="592"/>
      <c r="F235" s="592"/>
      <c r="G235" s="592"/>
      <c r="H235" s="592"/>
      <c r="I235" s="592"/>
      <c r="J235" s="592"/>
      <c r="K235" s="592"/>
      <c r="L235" s="592"/>
      <c r="M235" s="559"/>
      <c r="N235" s="249"/>
      <c r="O235" s="249"/>
    </row>
    <row r="236" spans="1:15">
      <c r="A236" s="559"/>
      <c r="B236" s="560"/>
      <c r="C236" s="561"/>
      <c r="D236" s="561"/>
      <c r="E236" s="251"/>
      <c r="F236" s="251"/>
      <c r="G236" s="562"/>
      <c r="H236" s="562"/>
      <c r="I236" s="562"/>
      <c r="J236" s="562"/>
      <c r="K236" s="562"/>
      <c r="L236" s="562"/>
      <c r="M236" s="559"/>
      <c r="N236" s="249"/>
      <c r="O236" s="249"/>
    </row>
    <row r="237" spans="1:15">
      <c r="A237" s="559"/>
      <c r="B237" s="251"/>
      <c r="C237" s="562"/>
      <c r="D237" s="564"/>
      <c r="E237" s="561"/>
      <c r="F237" s="251"/>
      <c r="G237" s="562"/>
      <c r="H237" s="562"/>
      <c r="I237" s="562"/>
      <c r="J237" s="562"/>
      <c r="K237" s="562"/>
      <c r="L237" s="562"/>
      <c r="M237" s="559"/>
      <c r="N237" s="249"/>
      <c r="O237" s="249"/>
    </row>
    <row r="238" spans="1:15">
      <c r="A238" s="559"/>
      <c r="B238" s="251"/>
      <c r="C238" s="562"/>
      <c r="D238" s="565"/>
      <c r="E238" s="561"/>
      <c r="F238" s="251"/>
      <c r="G238" s="562"/>
      <c r="H238" s="562"/>
      <c r="I238" s="562"/>
      <c r="J238" s="562"/>
      <c r="K238" s="562"/>
      <c r="L238" s="562"/>
      <c r="M238" s="559"/>
      <c r="N238" s="249"/>
      <c r="O238" s="249"/>
    </row>
    <row r="239" spans="1:15">
      <c r="A239" s="559"/>
      <c r="B239" s="251"/>
      <c r="C239" s="562"/>
      <c r="D239" s="565"/>
      <c r="E239" s="561"/>
      <c r="F239" s="251"/>
      <c r="G239" s="562"/>
      <c r="H239" s="562"/>
      <c r="I239" s="562"/>
      <c r="J239" s="562"/>
      <c r="K239" s="562"/>
      <c r="L239" s="562"/>
      <c r="M239" s="559"/>
      <c r="N239" s="249"/>
      <c r="O239" s="249"/>
    </row>
    <row r="240" spans="1:15">
      <c r="A240" s="559"/>
      <c r="B240" s="251"/>
      <c r="C240" s="562"/>
      <c r="D240" s="258"/>
      <c r="E240" s="561"/>
      <c r="F240" s="251"/>
      <c r="G240" s="562"/>
      <c r="H240" s="562"/>
      <c r="I240" s="562"/>
      <c r="J240" s="562"/>
      <c r="K240" s="562"/>
      <c r="L240" s="562"/>
      <c r="M240" s="559"/>
      <c r="N240" s="249"/>
      <c r="O240" s="249"/>
    </row>
    <row r="241" spans="1:15">
      <c r="A241" s="559"/>
      <c r="B241" s="251"/>
      <c r="C241" s="569"/>
      <c r="D241" s="564"/>
      <c r="E241" s="561"/>
      <c r="F241" s="251"/>
      <c r="G241" s="562"/>
      <c r="H241" s="562"/>
      <c r="I241" s="562"/>
      <c r="J241" s="562"/>
      <c r="K241" s="562"/>
      <c r="L241" s="562"/>
      <c r="M241" s="559"/>
      <c r="N241" s="249"/>
      <c r="O241" s="249"/>
    </row>
    <row r="242" spans="1:15">
      <c r="A242" s="559"/>
      <c r="B242" s="251"/>
      <c r="C242" s="569"/>
      <c r="D242" s="564"/>
      <c r="E242" s="561"/>
      <c r="F242" s="251"/>
      <c r="G242" s="562"/>
      <c r="H242" s="562"/>
      <c r="I242" s="562"/>
      <c r="J242" s="562"/>
      <c r="K242" s="562"/>
      <c r="L242" s="562"/>
      <c r="M242" s="559"/>
      <c r="N242" s="249"/>
      <c r="O242" s="249"/>
    </row>
    <row r="243" spans="1:15">
      <c r="A243" s="559"/>
      <c r="B243" s="251"/>
      <c r="C243" s="569"/>
      <c r="D243" s="564"/>
      <c r="E243" s="561"/>
      <c r="F243" s="251"/>
      <c r="G243" s="562"/>
      <c r="H243" s="562"/>
      <c r="I243" s="562"/>
      <c r="J243" s="562"/>
      <c r="K243" s="562"/>
      <c r="L243" s="562"/>
      <c r="M243" s="559"/>
      <c r="N243" s="249"/>
      <c r="O243" s="249"/>
    </row>
    <row r="244" spans="1:15">
      <c r="A244" s="559"/>
      <c r="B244" s="251"/>
      <c r="C244" s="569"/>
      <c r="D244" s="564"/>
      <c r="E244" s="561"/>
      <c r="F244" s="251"/>
      <c r="G244" s="562"/>
      <c r="H244" s="562"/>
      <c r="I244" s="562"/>
      <c r="J244" s="562"/>
      <c r="K244" s="562"/>
      <c r="L244" s="562"/>
      <c r="M244" s="559"/>
      <c r="N244" s="249"/>
      <c r="O244" s="249"/>
    </row>
    <row r="245" spans="1:15">
      <c r="A245" s="559"/>
      <c r="B245" s="251"/>
      <c r="C245" s="562"/>
      <c r="D245" s="564"/>
      <c r="E245" s="561"/>
      <c r="F245" s="251"/>
      <c r="G245" s="562"/>
      <c r="H245" s="562"/>
      <c r="I245" s="562"/>
      <c r="J245" s="562"/>
      <c r="K245" s="562"/>
      <c r="L245" s="562"/>
      <c r="M245" s="559"/>
      <c r="N245" s="249"/>
      <c r="O245" s="249"/>
    </row>
    <row r="246" spans="1:15">
      <c r="A246" s="559"/>
      <c r="B246" s="251"/>
      <c r="C246" s="251"/>
      <c r="D246" s="564"/>
      <c r="E246" s="561"/>
      <c r="F246" s="251"/>
      <c r="G246" s="562"/>
      <c r="H246" s="562"/>
      <c r="I246" s="562"/>
      <c r="J246" s="562"/>
      <c r="K246" s="562"/>
      <c r="L246" s="562"/>
      <c r="M246" s="559"/>
      <c r="N246" s="249"/>
      <c r="O246" s="249"/>
    </row>
    <row r="247" spans="1:15">
      <c r="A247" s="559"/>
      <c r="B247" s="251"/>
      <c r="C247" s="562"/>
      <c r="D247" s="564"/>
      <c r="E247" s="561"/>
      <c r="F247" s="251"/>
      <c r="G247" s="562"/>
      <c r="H247" s="562"/>
      <c r="I247" s="562"/>
      <c r="J247" s="562"/>
      <c r="K247" s="562"/>
      <c r="L247" s="562"/>
      <c r="M247" s="559"/>
      <c r="N247" s="249"/>
      <c r="O247" s="249"/>
    </row>
    <row r="248" spans="1:15">
      <c r="A248" s="559"/>
      <c r="B248" s="251"/>
      <c r="C248" s="562"/>
      <c r="D248" s="564"/>
      <c r="E248" s="561"/>
      <c r="F248" s="251"/>
      <c r="G248" s="562"/>
      <c r="H248" s="562"/>
      <c r="I248" s="562"/>
      <c r="J248" s="562"/>
      <c r="K248" s="562"/>
      <c r="L248" s="562"/>
      <c r="M248" s="559"/>
      <c r="N248" s="249"/>
      <c r="O248" s="249"/>
    </row>
    <row r="249" spans="1:15">
      <c r="A249" s="559"/>
      <c r="B249" s="251"/>
      <c r="C249" s="566"/>
      <c r="D249" s="567"/>
      <c r="E249" s="592"/>
      <c r="F249" s="254"/>
      <c r="G249" s="295"/>
      <c r="H249" s="562"/>
      <c r="I249" s="562"/>
      <c r="J249" s="562"/>
      <c r="K249" s="562"/>
      <c r="L249" s="562"/>
      <c r="M249" s="559"/>
      <c r="N249" s="249"/>
      <c r="O249" s="249"/>
    </row>
    <row r="250" spans="1:15">
      <c r="A250" s="251"/>
      <c r="B250" s="569"/>
      <c r="C250" s="564"/>
      <c r="D250" s="561"/>
      <c r="E250" s="562"/>
      <c r="F250" s="251"/>
      <c r="G250" s="562"/>
      <c r="H250" s="562"/>
      <c r="I250" s="562"/>
      <c r="J250" s="562"/>
      <c r="K250" s="562"/>
      <c r="L250" s="562"/>
      <c r="M250" s="251"/>
      <c r="N250" s="249"/>
      <c r="O250" s="249"/>
    </row>
    <row r="251" spans="1:15">
      <c r="A251" s="939"/>
      <c r="B251" s="939"/>
      <c r="C251" s="939"/>
      <c r="D251" s="939"/>
      <c r="E251" s="939"/>
      <c r="F251" s="939"/>
      <c r="G251" s="939"/>
      <c r="H251" s="939"/>
      <c r="I251" s="939"/>
      <c r="J251" s="939"/>
      <c r="K251" s="939"/>
      <c r="L251" s="939"/>
      <c r="M251" s="939"/>
      <c r="N251" s="249"/>
      <c r="O251" s="249"/>
    </row>
    <row r="252" spans="1:15">
      <c r="A252" s="562"/>
      <c r="B252" s="571"/>
      <c r="C252" s="572"/>
      <c r="D252" s="562"/>
      <c r="E252" s="562"/>
      <c r="F252" s="562"/>
      <c r="G252" s="562"/>
      <c r="H252" s="562"/>
      <c r="I252" s="562"/>
      <c r="J252" s="562"/>
      <c r="K252" s="562"/>
      <c r="L252" s="562"/>
      <c r="M252" s="562"/>
      <c r="N252" s="249"/>
      <c r="O252" s="249"/>
    </row>
    <row r="253" spans="1:15">
      <c r="A253" s="562"/>
      <c r="B253" s="251"/>
      <c r="C253" s="562"/>
      <c r="D253" s="564"/>
      <c r="E253" s="561"/>
      <c r="F253" s="251"/>
      <c r="G253" s="562"/>
      <c r="H253" s="562"/>
      <c r="I253" s="562"/>
      <c r="J253" s="562"/>
      <c r="K253" s="562"/>
      <c r="L253" s="562"/>
      <c r="M253" s="562"/>
      <c r="N253" s="249"/>
      <c r="O253" s="249"/>
    </row>
    <row r="254" spans="1:15">
      <c r="A254" s="621"/>
      <c r="B254" s="613"/>
      <c r="C254" s="613"/>
      <c r="D254" s="623"/>
      <c r="E254" s="620"/>
      <c r="F254" s="613"/>
      <c r="G254" s="621"/>
      <c r="H254" s="621"/>
      <c r="I254" s="621"/>
      <c r="J254" s="621"/>
      <c r="K254" s="621"/>
      <c r="L254" s="621"/>
      <c r="M254" s="621"/>
    </row>
    <row r="255" spans="1:15">
      <c r="A255" s="621"/>
      <c r="B255" s="613"/>
      <c r="C255" s="621"/>
      <c r="D255" s="623"/>
      <c r="E255" s="620"/>
      <c r="F255" s="613"/>
      <c r="G255" s="621"/>
      <c r="H255" s="630"/>
      <c r="I255" s="630"/>
      <c r="J255" s="630"/>
      <c r="K255" s="630"/>
      <c r="L255" s="630"/>
      <c r="M255" s="613"/>
    </row>
    <row r="256" spans="1:15">
      <c r="A256" s="621"/>
      <c r="B256" s="613"/>
      <c r="C256" s="621"/>
      <c r="D256" s="623"/>
      <c r="E256" s="620"/>
      <c r="F256" s="613"/>
      <c r="G256" s="621"/>
      <c r="H256" s="621"/>
      <c r="I256" s="614"/>
      <c r="J256" s="614"/>
      <c r="K256" s="614"/>
      <c r="L256" s="613"/>
      <c r="M256" s="613"/>
    </row>
    <row r="257" spans="1:13">
      <c r="A257" s="621"/>
      <c r="B257" s="613"/>
      <c r="C257" s="625"/>
      <c r="D257" s="626"/>
      <c r="E257" s="612"/>
      <c r="F257" s="611"/>
      <c r="G257" s="607"/>
      <c r="H257" s="621"/>
      <c r="I257" s="614"/>
      <c r="J257" s="614"/>
      <c r="K257" s="614"/>
      <c r="L257" s="613"/>
      <c r="M257" s="613"/>
    </row>
    <row r="258" spans="1:13">
      <c r="A258" s="613"/>
      <c r="B258" s="612"/>
      <c r="C258" s="612"/>
      <c r="D258" s="612"/>
      <c r="E258" s="612"/>
      <c r="F258" s="612"/>
      <c r="G258" s="612"/>
      <c r="H258" s="612"/>
      <c r="I258" s="612"/>
      <c r="J258" s="612"/>
      <c r="K258" s="612"/>
      <c r="L258" s="612"/>
      <c r="M258" s="613"/>
    </row>
    <row r="259" spans="1:13">
      <c r="A259" s="622"/>
      <c r="B259" s="619"/>
      <c r="C259" s="613"/>
      <c r="D259" s="613"/>
      <c r="E259" s="613"/>
      <c r="F259" s="621"/>
      <c r="G259" s="621"/>
      <c r="H259" s="621"/>
      <c r="I259" s="614"/>
      <c r="J259" s="614"/>
      <c r="K259" s="614"/>
      <c r="L259" s="618"/>
      <c r="M259" s="618"/>
    </row>
    <row r="260" spans="1:13">
      <c r="A260" s="622"/>
      <c r="B260" s="613"/>
      <c r="C260" s="613"/>
      <c r="D260" s="624"/>
      <c r="E260" s="620"/>
      <c r="F260" s="613"/>
      <c r="G260" s="621"/>
      <c r="H260" s="621"/>
      <c r="I260" s="614"/>
      <c r="J260" s="614"/>
      <c r="K260" s="614"/>
      <c r="L260" s="618"/>
      <c r="M260" s="618"/>
    </row>
    <row r="261" spans="1:13">
      <c r="A261" s="618"/>
      <c r="B261" s="613"/>
      <c r="C261" s="621"/>
      <c r="D261" s="623"/>
      <c r="E261" s="620"/>
      <c r="F261" s="613"/>
      <c r="G261" s="621"/>
      <c r="H261" s="613"/>
      <c r="I261" s="613"/>
      <c r="J261" s="613"/>
      <c r="K261" s="613"/>
      <c r="L261" s="618"/>
      <c r="M261" s="618"/>
    </row>
    <row r="262" spans="1:13">
      <c r="A262" s="618"/>
      <c r="B262" s="613"/>
      <c r="C262" s="613"/>
      <c r="D262" s="623"/>
      <c r="E262" s="620"/>
      <c r="F262" s="613"/>
      <c r="G262" s="621"/>
      <c r="H262" s="613"/>
      <c r="I262" s="613"/>
      <c r="J262" s="613"/>
      <c r="K262" s="613"/>
      <c r="L262" s="618"/>
      <c r="M262" s="618"/>
    </row>
    <row r="263" spans="1:13">
      <c r="A263" s="618"/>
      <c r="B263" s="613"/>
      <c r="C263" s="613"/>
      <c r="D263" s="623"/>
      <c r="E263" s="620"/>
      <c r="F263" s="613"/>
      <c r="G263" s="621"/>
      <c r="H263" s="613"/>
      <c r="I263" s="613"/>
      <c r="J263" s="613"/>
      <c r="K263" s="613"/>
      <c r="L263" s="618"/>
      <c r="M263" s="618"/>
    </row>
    <row r="264" spans="1:13">
      <c r="A264" s="618"/>
      <c r="B264" s="613"/>
      <c r="C264" s="621"/>
      <c r="D264" s="623"/>
      <c r="E264" s="620"/>
      <c r="F264" s="613"/>
      <c r="G264" s="621"/>
      <c r="H264" s="613"/>
      <c r="I264" s="613"/>
      <c r="J264" s="613"/>
      <c r="K264" s="613"/>
      <c r="L264" s="618"/>
      <c r="M264" s="618"/>
    </row>
    <row r="265" spans="1:13">
      <c r="A265" s="618"/>
      <c r="B265" s="613"/>
      <c r="C265" s="625"/>
      <c r="D265" s="626"/>
      <c r="E265" s="612"/>
      <c r="F265" s="611"/>
      <c r="G265" s="607"/>
      <c r="H265" s="613"/>
      <c r="I265" s="613"/>
      <c r="J265" s="613"/>
      <c r="K265" s="613"/>
      <c r="L265" s="618"/>
      <c r="M265" s="618"/>
    </row>
    <row r="266" spans="1:13">
      <c r="A266" s="618"/>
      <c r="B266" s="612"/>
      <c r="C266" s="612"/>
      <c r="D266" s="612"/>
      <c r="E266" s="612"/>
      <c r="F266" s="612"/>
      <c r="G266" s="612"/>
      <c r="H266" s="612"/>
      <c r="I266" s="612"/>
      <c r="J266" s="612"/>
      <c r="K266" s="612"/>
      <c r="L266" s="627"/>
      <c r="M266" s="618"/>
    </row>
    <row r="267" spans="1:13">
      <c r="A267" s="949"/>
      <c r="B267" s="949"/>
      <c r="C267" s="949"/>
      <c r="D267" s="949"/>
      <c r="E267" s="949"/>
      <c r="F267" s="949"/>
      <c r="G267" s="949"/>
      <c r="H267" s="949"/>
      <c r="I267" s="949"/>
      <c r="J267" s="949"/>
      <c r="K267" s="949"/>
      <c r="L267" s="949"/>
      <c r="M267" s="949"/>
    </row>
    <row r="268" spans="1:13">
      <c r="A268" s="618"/>
      <c r="B268" s="613"/>
      <c r="C268" s="628"/>
      <c r="D268" s="614"/>
      <c r="E268" s="620"/>
      <c r="F268" s="613"/>
      <c r="G268" s="621"/>
      <c r="H268" s="624"/>
      <c r="I268" s="613"/>
      <c r="J268" s="613"/>
      <c r="K268" s="613"/>
      <c r="L268" s="618"/>
      <c r="M268" s="618"/>
    </row>
    <row r="269" spans="1:13">
      <c r="A269" s="618"/>
      <c r="B269" s="613"/>
      <c r="C269" s="628"/>
      <c r="D269" s="623"/>
      <c r="E269" s="620"/>
      <c r="F269" s="613"/>
      <c r="G269" s="621"/>
      <c r="H269" s="624"/>
      <c r="I269" s="613"/>
      <c r="J269" s="613"/>
      <c r="K269" s="613"/>
      <c r="L269" s="618"/>
      <c r="M269" s="618"/>
    </row>
    <row r="270" spans="1:13">
      <c r="A270" s="618"/>
      <c r="B270" s="613"/>
      <c r="C270" s="628"/>
      <c r="D270" s="623"/>
      <c r="E270" s="620"/>
      <c r="F270" s="613"/>
      <c r="G270" s="621"/>
      <c r="H270" s="624"/>
      <c r="I270" s="613"/>
      <c r="J270" s="613"/>
      <c r="K270" s="613"/>
      <c r="L270" s="618"/>
      <c r="M270" s="618"/>
    </row>
    <row r="271" spans="1:13">
      <c r="A271" s="618"/>
      <c r="B271" s="613"/>
      <c r="C271" s="628"/>
      <c r="D271" s="623"/>
      <c r="E271" s="620"/>
      <c r="F271" s="613"/>
      <c r="G271" s="621"/>
      <c r="H271" s="624"/>
      <c r="I271" s="613"/>
      <c r="J271" s="613"/>
      <c r="K271" s="613"/>
      <c r="L271" s="618"/>
      <c r="M271" s="618"/>
    </row>
    <row r="272" spans="1:13">
      <c r="A272" s="618"/>
      <c r="B272" s="613"/>
      <c r="C272" s="625"/>
      <c r="D272" s="626"/>
      <c r="E272" s="612"/>
      <c r="F272" s="611"/>
      <c r="G272" s="607"/>
      <c r="H272" s="624"/>
      <c r="I272" s="613"/>
      <c r="J272" s="613"/>
      <c r="K272" s="613"/>
      <c r="L272" s="618"/>
      <c r="M272" s="618"/>
    </row>
  </sheetData>
  <sheetProtection algorithmName="SHA-512" hashValue="gngeQCAbKoEaILCW2+wR7p3sjVe4yjobD6Yid1S73CmsFJG4bJLY2XlfyJt2M2WEnGnkpU1XnBobu5MlP7eiPw==" saltValue="t/i3P0Af/nhavuXvNJnTHA==" spinCount="100000" sheet="1" objects="1" scenarios="1"/>
  <mergeCells count="51">
    <mergeCell ref="B39:C39"/>
    <mergeCell ref="E43:F43"/>
    <mergeCell ref="E39:F39"/>
    <mergeCell ref="E40:F40"/>
    <mergeCell ref="E41:F41"/>
    <mergeCell ref="E42:F42"/>
    <mergeCell ref="A220:M220"/>
    <mergeCell ref="A251:M251"/>
    <mergeCell ref="A267:M267"/>
    <mergeCell ref="B14:C14"/>
    <mergeCell ref="B15:C15"/>
    <mergeCell ref="G15:N15"/>
    <mergeCell ref="A134:M134"/>
    <mergeCell ref="A150:M150"/>
    <mergeCell ref="A157:M157"/>
    <mergeCell ref="A159:M159"/>
    <mergeCell ref="A195:M195"/>
    <mergeCell ref="A211:M211"/>
    <mergeCell ref="A78:M78"/>
    <mergeCell ref="A94:M94"/>
    <mergeCell ref="E14:F14"/>
    <mergeCell ref="A218:M218"/>
    <mergeCell ref="H2:L2"/>
    <mergeCell ref="A101:M101"/>
    <mergeCell ref="A103:M103"/>
    <mergeCell ref="E30:F30"/>
    <mergeCell ref="E31:F31"/>
    <mergeCell ref="E32:F32"/>
    <mergeCell ref="E33:F33"/>
    <mergeCell ref="E34:F34"/>
    <mergeCell ref="B35:B38"/>
    <mergeCell ref="E35:F38"/>
    <mergeCell ref="B44:L44"/>
    <mergeCell ref="B45:L45"/>
    <mergeCell ref="B46:L46"/>
    <mergeCell ref="B47:L47"/>
    <mergeCell ref="B49:N49"/>
    <mergeCell ref="B43:D43"/>
    <mergeCell ref="K27:L27"/>
    <mergeCell ref="K35:K38"/>
    <mergeCell ref="L35:L38"/>
    <mergeCell ref="A4:M4"/>
    <mergeCell ref="E10:F10"/>
    <mergeCell ref="E11:F11"/>
    <mergeCell ref="E12:F12"/>
    <mergeCell ref="E13:F13"/>
    <mergeCell ref="E15:F15"/>
    <mergeCell ref="G27:H27"/>
    <mergeCell ref="I27:J27"/>
    <mergeCell ref="E28:F28"/>
    <mergeCell ref="E29:F29"/>
  </mergeCells>
  <conditionalFormatting sqref="B41:D41">
    <cfRule type="expression" dxfId="115" priority="1">
      <formula>$B$41="Verankerung Randbereich nicht zulässig"</formula>
    </cfRule>
  </conditionalFormatting>
  <pageMargins left="0.82677165354330717" right="0.31496062992125984" top="0.62992125984251968" bottom="0.59055118110236227" header="0.31496062992125984" footer="0.31496062992125984"/>
  <pageSetup paperSize="9" scale="90" orientation="portrait" r:id="rId1"/>
  <headerFooter alignWithMargins="0">
    <oddFooter>Seite &amp;P von &amp;N</oddFooter>
  </headerFooter>
  <rowBreaks count="5" manualBreakCount="5">
    <brk id="47" min="1" max="11" man="1"/>
    <brk id="98" min="1" max="11" man="1"/>
    <brk id="102" min="1" max="11" man="1"/>
    <brk id="152" min="1" max="11" man="1"/>
    <brk id="206" max="16383" man="1"/>
  </rowBreaks>
  <colBreaks count="2" manualBreakCount="2">
    <brk id="12" max="207" man="1"/>
    <brk id="14" max="1048575" man="1"/>
  </colBreaks>
  <ignoredErrors>
    <ignoredError sqref="B2 D12 D14:D1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dimension ref="A1"/>
  <sheetViews>
    <sheetView showGridLines="0" showRowColHeaders="0" zoomScale="70" zoomScaleNormal="70" zoomScaleSheetLayoutView="115" workbookViewId="0">
      <selection activeCell="V19" sqref="V19"/>
    </sheetView>
  </sheetViews>
  <sheetFormatPr baseColWidth="10" defaultColWidth="11.33203125" defaultRowHeight="12.7"/>
  <cols>
    <col min="1" max="15" width="11.33203125" style="878"/>
    <col min="16" max="16" width="16" style="878" customWidth="1"/>
    <col min="17" max="16384" width="11.33203125" style="878"/>
  </cols>
  <sheetData/>
  <pageMargins left="0.70866141732283472" right="0.31496062992125984" top="0.39370078740157483" bottom="0.39370078740157483" header="0.31496062992125984" footer="0.31496062992125984"/>
  <pageSetup paperSize="9" scale="97"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dimension ref="A1:BQ198"/>
  <sheetViews>
    <sheetView showGridLines="0" showRuler="0" zoomScale="80" zoomScaleNormal="80" zoomScaleSheetLayoutView="85" zoomScalePageLayoutView="85" workbookViewId="0">
      <selection activeCell="L22" sqref="L22"/>
    </sheetView>
  </sheetViews>
  <sheetFormatPr baseColWidth="10" defaultColWidth="11.33203125" defaultRowHeight="12.7"/>
  <cols>
    <col min="1" max="1" width="0.33203125" style="65" customWidth="1"/>
    <col min="2" max="2" width="26.33203125" style="245" customWidth="1"/>
    <col min="3" max="3" width="10.33203125" style="245" customWidth="1"/>
    <col min="4" max="4" width="11.33203125" style="245"/>
    <col min="5" max="5" width="10.33203125" style="245" customWidth="1"/>
    <col min="6" max="6" width="11.33203125" style="245"/>
    <col min="7" max="7" width="10.33203125" style="245" customWidth="1"/>
    <col min="8" max="8" width="11.33203125" style="245"/>
    <col min="9" max="9" width="10.33203125" style="245" customWidth="1"/>
    <col min="10" max="10" width="11.33203125" style="245"/>
    <col min="11" max="11" width="10.33203125" style="245" customWidth="1"/>
    <col min="12" max="12" width="255.6640625" style="66" customWidth="1"/>
    <col min="13" max="13" width="27" style="66" customWidth="1"/>
    <col min="14" max="14" width="22.6640625" style="66" customWidth="1"/>
    <col min="15" max="15" width="12.33203125" style="66" customWidth="1"/>
    <col min="16" max="16" width="11.33203125" style="66"/>
    <col min="17" max="17" width="13.109375" style="66" customWidth="1"/>
    <col min="18" max="18" width="31.33203125" style="66" customWidth="1"/>
    <col min="19" max="19" width="21" style="66" customWidth="1"/>
    <col min="20" max="20" width="42.109375" style="66" customWidth="1"/>
    <col min="21" max="21" width="14.33203125" style="66" customWidth="1"/>
    <col min="22" max="22" width="14.88671875" style="67" customWidth="1"/>
    <col min="23" max="23" width="14.109375" style="67" customWidth="1"/>
    <col min="24" max="24" width="13.6640625" style="66" customWidth="1"/>
    <col min="25" max="25" width="12.33203125" style="66" customWidth="1"/>
    <col min="26" max="26" width="10.33203125" style="66" customWidth="1"/>
    <col min="27" max="27" width="8.33203125" style="66" customWidth="1"/>
    <col min="28" max="28" width="8.88671875" style="67" customWidth="1"/>
    <col min="29" max="29" width="8.109375" style="67" customWidth="1"/>
    <col min="30" max="34" width="11.33203125" style="66"/>
    <col min="35" max="55" width="11.33203125" style="68"/>
    <col min="56" max="16384" width="11.33203125" style="65"/>
  </cols>
  <sheetData>
    <row r="1" spans="1:68" ht="35.85" customHeight="1" thickBot="1">
      <c r="A1" s="505"/>
      <c r="B1" s="996"/>
      <c r="C1" s="997"/>
      <c r="D1" s="997"/>
      <c r="E1" s="997"/>
      <c r="F1" s="997"/>
      <c r="G1" s="997"/>
      <c r="H1" s="997"/>
      <c r="I1" s="997"/>
      <c r="J1" s="997"/>
      <c r="K1" s="998"/>
      <c r="L1" s="688"/>
      <c r="M1" s="688" t="s">
        <v>525</v>
      </c>
      <c r="N1" s="791" t="s">
        <v>1160</v>
      </c>
      <c r="O1" s="688"/>
      <c r="P1" s="688" t="s">
        <v>121</v>
      </c>
      <c r="Q1" s="688"/>
      <c r="R1" s="688"/>
      <c r="S1" s="688"/>
      <c r="T1" s="688"/>
      <c r="U1" s="688"/>
      <c r="V1" s="792"/>
      <c r="W1" s="792"/>
      <c r="X1" s="688"/>
      <c r="Y1" s="688"/>
      <c r="Z1" s="688"/>
      <c r="AA1" s="688"/>
      <c r="AB1" s="793"/>
      <c r="AC1" s="793"/>
      <c r="AD1" s="791"/>
      <c r="AE1" s="791"/>
      <c r="AF1" s="791"/>
      <c r="AG1" s="791"/>
      <c r="AH1" s="791"/>
      <c r="AI1" s="794"/>
      <c r="AJ1" s="794"/>
      <c r="AK1" s="794"/>
      <c r="AL1" s="794"/>
      <c r="AM1" s="794"/>
      <c r="AN1" s="794"/>
      <c r="AO1" s="794"/>
      <c r="AP1" s="794"/>
      <c r="AQ1" s="794"/>
      <c r="AR1" s="675"/>
      <c r="AS1" s="675"/>
      <c r="AT1" s="675"/>
      <c r="AU1" s="675"/>
      <c r="AV1" s="675"/>
      <c r="AW1" s="675"/>
      <c r="AX1" s="675"/>
      <c r="AY1" s="675"/>
      <c r="AZ1" s="675"/>
      <c r="BA1" s="675"/>
      <c r="BB1" s="675"/>
      <c r="BC1" s="656"/>
      <c r="BD1" s="656"/>
      <c r="BE1" s="656"/>
      <c r="BF1" s="656"/>
      <c r="BG1" s="656"/>
      <c r="BH1" s="656"/>
      <c r="BI1" s="656"/>
      <c r="BJ1" s="656"/>
      <c r="BK1" s="656"/>
      <c r="BL1" s="656"/>
      <c r="BM1" s="656"/>
      <c r="BN1" s="656"/>
      <c r="BO1" s="656"/>
      <c r="BP1" s="656"/>
    </row>
    <row r="2" spans="1:68" s="245" customFormat="1" ht="18" customHeight="1" thickBot="1">
      <c r="A2" s="505"/>
      <c r="B2" s="1014" t="s">
        <v>1595</v>
      </c>
      <c r="C2" s="1015"/>
      <c r="D2" s="1015"/>
      <c r="E2" s="1015"/>
      <c r="F2" s="1015"/>
      <c r="G2" s="1015"/>
      <c r="H2" s="1015"/>
      <c r="I2" s="1012" t="s">
        <v>1596</v>
      </c>
      <c r="J2" s="1012"/>
      <c r="K2" s="1013"/>
      <c r="L2" s="688"/>
      <c r="M2" s="688" t="s">
        <v>526</v>
      </c>
      <c r="N2" s="790">
        <f>IF(MID(C13,1,1)="L",1,0)</f>
        <v>0</v>
      </c>
      <c r="O2" s="688"/>
      <c r="P2" s="688" t="s">
        <v>146</v>
      </c>
      <c r="Q2" s="688"/>
      <c r="R2" s="688"/>
      <c r="S2" s="688"/>
      <c r="T2" s="688"/>
      <c r="U2" s="688"/>
      <c r="V2" s="688" t="s">
        <v>524</v>
      </c>
      <c r="W2" s="792">
        <f>IF(G5="Einreihige Ankeranordnung",C7,C7-C17)</f>
        <v>940</v>
      </c>
      <c r="X2" s="688"/>
      <c r="Y2" s="688"/>
      <c r="Z2" s="688"/>
      <c r="AA2" s="688"/>
      <c r="AB2" s="793"/>
      <c r="AC2" s="793"/>
      <c r="AD2" s="791"/>
      <c r="AE2" s="791"/>
      <c r="AF2" s="791"/>
      <c r="AG2" s="791"/>
      <c r="AH2" s="791"/>
      <c r="AI2" s="790"/>
      <c r="AJ2" s="790"/>
      <c r="AK2" s="790"/>
      <c r="AL2" s="790"/>
      <c r="AM2" s="790"/>
      <c r="AN2" s="790"/>
      <c r="AO2" s="790"/>
      <c r="AP2" s="790"/>
      <c r="AQ2" s="790"/>
      <c r="AR2" s="674"/>
      <c r="AS2" s="674"/>
      <c r="AT2" s="674"/>
      <c r="AU2" s="674"/>
      <c r="AV2" s="674"/>
      <c r="AW2" s="674"/>
      <c r="AX2" s="674"/>
      <c r="AY2" s="674"/>
      <c r="AZ2" s="674"/>
      <c r="BA2" s="674"/>
      <c r="BB2" s="674"/>
      <c r="BC2" s="637"/>
      <c r="BD2" s="637"/>
      <c r="BE2" s="637"/>
      <c r="BF2" s="637"/>
      <c r="BG2" s="637"/>
      <c r="BH2" s="637"/>
      <c r="BI2" s="637"/>
      <c r="BJ2" s="637"/>
      <c r="BK2" s="637"/>
      <c r="BL2" s="637"/>
      <c r="BM2" s="637"/>
      <c r="BN2" s="637"/>
      <c r="BO2" s="637"/>
      <c r="BP2" s="637"/>
    </row>
    <row r="3" spans="1:68" s="70" customFormat="1" ht="14.25" customHeight="1">
      <c r="A3" s="506"/>
      <c r="B3" s="689" t="s">
        <v>203</v>
      </c>
      <c r="C3" s="1016" t="s">
        <v>204</v>
      </c>
      <c r="D3" s="1017"/>
      <c r="E3" s="1018"/>
      <c r="F3" s="1003"/>
      <c r="G3" s="1003"/>
      <c r="H3" s="1003"/>
      <c r="I3" s="1003"/>
      <c r="J3" s="1003"/>
      <c r="K3" s="1004"/>
      <c r="L3" s="788"/>
      <c r="M3" s="688" t="s">
        <v>527</v>
      </c>
      <c r="N3" s="795">
        <f>IF(N2=1,MIN(1,C14/1200-(5/6)),1)</f>
        <v>1</v>
      </c>
      <c r="O3" s="796"/>
      <c r="P3" s="688" t="s">
        <v>124</v>
      </c>
      <c r="Q3" s="788"/>
      <c r="R3" s="788"/>
      <c r="S3" s="788"/>
      <c r="T3" s="788"/>
      <c r="U3" s="788"/>
      <c r="V3" s="688" t="s">
        <v>532</v>
      </c>
      <c r="W3" s="797"/>
      <c r="X3" s="788"/>
      <c r="Y3" s="788"/>
      <c r="Z3" s="788"/>
      <c r="AA3" s="788"/>
      <c r="AB3" s="798"/>
      <c r="AC3" s="798"/>
      <c r="AD3" s="799"/>
      <c r="AE3" s="799"/>
      <c r="AF3" s="799"/>
      <c r="AG3" s="799"/>
      <c r="AH3" s="799"/>
      <c r="AI3" s="800"/>
      <c r="AJ3" s="800"/>
      <c r="AK3" s="800"/>
      <c r="AL3" s="800"/>
      <c r="AM3" s="800"/>
      <c r="AN3" s="800"/>
      <c r="AO3" s="800"/>
      <c r="AP3" s="800"/>
      <c r="AQ3" s="800"/>
      <c r="AR3" s="676"/>
      <c r="AS3" s="676"/>
      <c r="AT3" s="676"/>
      <c r="AU3" s="676"/>
      <c r="AV3" s="676"/>
      <c r="AW3" s="676"/>
      <c r="AX3" s="676"/>
      <c r="AY3" s="676"/>
      <c r="AZ3" s="676"/>
      <c r="BA3" s="676"/>
      <c r="BB3" s="676"/>
      <c r="BC3" s="657"/>
      <c r="BD3" s="657"/>
      <c r="BE3" s="657"/>
      <c r="BF3" s="657"/>
      <c r="BG3" s="657"/>
      <c r="BH3" s="657"/>
      <c r="BI3" s="657"/>
      <c r="BJ3" s="657"/>
      <c r="BK3" s="657"/>
      <c r="BL3" s="657"/>
      <c r="BM3" s="657"/>
      <c r="BN3" s="657"/>
      <c r="BO3" s="657"/>
      <c r="BP3" s="657"/>
    </row>
    <row r="4" spans="1:68" s="245" customFormat="1" ht="14.25" customHeight="1">
      <c r="A4" s="505"/>
      <c r="B4" s="698" t="s">
        <v>474</v>
      </c>
      <c r="C4" s="1005" t="s">
        <v>202</v>
      </c>
      <c r="D4" s="1006"/>
      <c r="E4" s="1007"/>
      <c r="F4" s="1005" t="s">
        <v>568</v>
      </c>
      <c r="G4" s="1006"/>
      <c r="H4" s="1006"/>
      <c r="I4" s="1006"/>
      <c r="J4" s="1006"/>
      <c r="K4" s="1028"/>
      <c r="L4" s="688"/>
      <c r="M4" s="688" t="s">
        <v>528</v>
      </c>
      <c r="N4" s="688"/>
      <c r="O4" s="688"/>
      <c r="P4" s="688" t="s">
        <v>125</v>
      </c>
      <c r="Q4" s="688"/>
      <c r="R4" s="688"/>
      <c r="S4" s="801" t="s">
        <v>40</v>
      </c>
      <c r="T4" s="802"/>
      <c r="U4" s="802"/>
      <c r="V4" s="688" t="s">
        <v>533</v>
      </c>
      <c r="W4" s="803"/>
      <c r="X4" s="790"/>
      <c r="Y4" s="688"/>
      <c r="Z4" s="688"/>
      <c r="AA4" s="688"/>
      <c r="AB4" s="793"/>
      <c r="AC4" s="793"/>
      <c r="AD4" s="791"/>
      <c r="AE4" s="791"/>
      <c r="AF4" s="791"/>
      <c r="AG4" s="791"/>
      <c r="AH4" s="791"/>
      <c r="AI4" s="790"/>
      <c r="AJ4" s="790"/>
      <c r="AK4" s="790"/>
      <c r="AL4" s="790"/>
      <c r="AM4" s="790"/>
      <c r="AN4" s="790"/>
      <c r="AO4" s="790"/>
      <c r="AP4" s="790"/>
      <c r="AQ4" s="790"/>
      <c r="AR4" s="674"/>
      <c r="AS4" s="674"/>
      <c r="AT4" s="674"/>
      <c r="AU4" s="674"/>
      <c r="AV4" s="674"/>
      <c r="AW4" s="674"/>
      <c r="AX4" s="674"/>
      <c r="AY4" s="674"/>
      <c r="AZ4" s="674"/>
      <c r="BA4" s="674"/>
      <c r="BB4" s="674"/>
      <c r="BC4" s="637"/>
      <c r="BD4" s="637"/>
      <c r="BE4" s="637"/>
      <c r="BF4" s="637"/>
      <c r="BG4" s="637"/>
      <c r="BH4" s="637"/>
      <c r="BI4" s="637"/>
      <c r="BJ4" s="637"/>
      <c r="BK4" s="637"/>
      <c r="BL4" s="637"/>
      <c r="BM4" s="637"/>
      <c r="BN4" s="637"/>
      <c r="BO4" s="637"/>
      <c r="BP4" s="637"/>
    </row>
    <row r="5" spans="1:68" s="245" customFormat="1" ht="14.25" customHeight="1">
      <c r="A5" s="505"/>
      <c r="B5" s="991" t="s">
        <v>578</v>
      </c>
      <c r="C5" s="992"/>
      <c r="D5" s="992"/>
      <c r="E5" s="993"/>
      <c r="F5" s="690" t="str">
        <f>MID(C6,6,2)</f>
        <v>45</v>
      </c>
      <c r="G5" s="1005" t="s">
        <v>125</v>
      </c>
      <c r="H5" s="1006"/>
      <c r="I5" s="1006"/>
      <c r="J5" s="1007"/>
      <c r="K5" s="691"/>
      <c r="L5" s="688"/>
      <c r="M5" s="688" t="s">
        <v>529</v>
      </c>
      <c r="N5" s="790"/>
      <c r="O5" s="688"/>
      <c r="P5" s="790"/>
      <c r="Q5" s="688"/>
      <c r="R5" s="688"/>
      <c r="S5" s="804"/>
      <c r="T5" s="805"/>
      <c r="U5" s="805"/>
      <c r="V5" s="688" t="s">
        <v>534</v>
      </c>
      <c r="W5" s="790"/>
      <c r="X5" s="790"/>
      <c r="Y5" s="688"/>
      <c r="Z5" s="688"/>
      <c r="AA5" s="688"/>
      <c r="AB5" s="793"/>
      <c r="AC5" s="793"/>
      <c r="AD5" s="791"/>
      <c r="AE5" s="791"/>
      <c r="AF5" s="791"/>
      <c r="AG5" s="791"/>
      <c r="AH5" s="791"/>
      <c r="AI5" s="790"/>
      <c r="AJ5" s="790"/>
      <c r="AK5" s="790"/>
      <c r="AL5" s="790"/>
      <c r="AM5" s="790"/>
      <c r="AN5" s="790"/>
      <c r="AO5" s="790"/>
      <c r="AP5" s="790"/>
      <c r="AQ5" s="790"/>
      <c r="AR5" s="674"/>
      <c r="AS5" s="674"/>
      <c r="AT5" s="674"/>
      <c r="AU5" s="674"/>
      <c r="AV5" s="674"/>
      <c r="AW5" s="674"/>
      <c r="AX5" s="674"/>
      <c r="AY5" s="674"/>
      <c r="AZ5" s="674"/>
      <c r="BA5" s="674"/>
      <c r="BB5" s="674"/>
      <c r="BC5" s="637"/>
      <c r="BD5" s="637"/>
      <c r="BE5" s="637"/>
      <c r="BF5" s="637"/>
      <c r="BG5" s="637"/>
      <c r="BH5" s="637"/>
      <c r="BI5" s="637"/>
      <c r="BJ5" s="637"/>
      <c r="BK5" s="637"/>
      <c r="BL5" s="637"/>
      <c r="BM5" s="637"/>
      <c r="BN5" s="637"/>
      <c r="BO5" s="637"/>
      <c r="BP5" s="637"/>
    </row>
    <row r="6" spans="1:68" s="245" customFormat="1" ht="14.25" customHeight="1">
      <c r="A6" s="505"/>
      <c r="B6" s="699" t="s">
        <v>25</v>
      </c>
      <c r="C6" s="1005" t="s">
        <v>534</v>
      </c>
      <c r="D6" s="1006"/>
      <c r="E6" s="1007"/>
      <c r="F6" s="1025" t="s">
        <v>602</v>
      </c>
      <c r="G6" s="1026"/>
      <c r="H6" s="1026"/>
      <c r="I6" s="1026"/>
      <c r="J6" s="1026"/>
      <c r="K6" s="1027"/>
      <c r="L6" s="688"/>
      <c r="M6" s="688" t="s">
        <v>530</v>
      </c>
      <c r="N6" s="790"/>
      <c r="O6" s="688"/>
      <c r="P6" s="790"/>
      <c r="Q6" s="688"/>
      <c r="R6" s="688"/>
      <c r="S6" s="688" t="s">
        <v>271</v>
      </c>
      <c r="T6" s="792">
        <f>J28</f>
        <v>500</v>
      </c>
      <c r="U6" s="792" t="s">
        <v>0</v>
      </c>
      <c r="V6" s="688" t="s">
        <v>535</v>
      </c>
      <c r="W6" s="790"/>
      <c r="X6" s="790"/>
      <c r="Y6" s="688"/>
      <c r="Z6" s="688"/>
      <c r="AA6" s="688"/>
      <c r="AB6" s="793"/>
      <c r="AC6" s="793"/>
      <c r="AD6" s="791"/>
      <c r="AE6" s="791"/>
      <c r="AF6" s="791"/>
      <c r="AG6" s="791"/>
      <c r="AH6" s="791"/>
      <c r="AI6" s="790"/>
      <c r="AJ6" s="790"/>
      <c r="AK6" s="790"/>
      <c r="AL6" s="790"/>
      <c r="AM6" s="790"/>
      <c r="AN6" s="790"/>
      <c r="AO6" s="790"/>
      <c r="AP6" s="790"/>
      <c r="AQ6" s="790"/>
      <c r="AR6" s="674"/>
      <c r="AS6" s="674"/>
      <c r="AT6" s="674"/>
      <c r="AU6" s="674"/>
      <c r="AV6" s="674"/>
      <c r="AW6" s="674"/>
      <c r="AX6" s="674"/>
      <c r="AY6" s="674"/>
      <c r="AZ6" s="674"/>
      <c r="BA6" s="674"/>
      <c r="BB6" s="674"/>
      <c r="BC6" s="637"/>
      <c r="BD6" s="637"/>
      <c r="BE6" s="637"/>
      <c r="BF6" s="637"/>
      <c r="BG6" s="637"/>
      <c r="BH6" s="637"/>
      <c r="BI6" s="637"/>
      <c r="BJ6" s="637"/>
      <c r="BK6" s="637"/>
      <c r="BL6" s="637"/>
      <c r="BM6" s="637"/>
      <c r="BN6" s="637"/>
      <c r="BO6" s="637"/>
      <c r="BP6" s="637"/>
    </row>
    <row r="7" spans="1:68" s="245" customFormat="1" ht="14.25" customHeight="1">
      <c r="A7" s="505"/>
      <c r="B7" s="699" t="s">
        <v>31</v>
      </c>
      <c r="C7" s="213">
        <v>1200</v>
      </c>
      <c r="D7" s="696" t="s">
        <v>0</v>
      </c>
      <c r="E7" s="693"/>
      <c r="F7" s="1019" t="s">
        <v>511</v>
      </c>
      <c r="G7" s="1020"/>
      <c r="H7" s="1020"/>
      <c r="I7" s="1020"/>
      <c r="J7" s="1020"/>
      <c r="K7" s="1021"/>
      <c r="L7" s="789"/>
      <c r="M7" s="688" t="s">
        <v>531</v>
      </c>
      <c r="N7" s="688"/>
      <c r="O7" s="688"/>
      <c r="P7" s="796" t="s">
        <v>449</v>
      </c>
      <c r="Q7" s="796" t="s">
        <v>450</v>
      </c>
      <c r="R7" s="688"/>
      <c r="S7" s="688" t="s">
        <v>272</v>
      </c>
      <c r="T7" s="806">
        <f>J32</f>
        <v>550</v>
      </c>
      <c r="U7" s="792" t="s">
        <v>0</v>
      </c>
      <c r="V7" s="688" t="s">
        <v>536</v>
      </c>
      <c r="W7" s="790"/>
      <c r="X7" s="790"/>
      <c r="Y7" s="688"/>
      <c r="Z7" s="688"/>
      <c r="AA7" s="688"/>
      <c r="AB7" s="793"/>
      <c r="AC7" s="793"/>
      <c r="AD7" s="791"/>
      <c r="AE7" s="791"/>
      <c r="AF7" s="791"/>
      <c r="AG7" s="791"/>
      <c r="AH7" s="791"/>
      <c r="AI7" s="790"/>
      <c r="AJ7" s="790"/>
      <c r="AK7" s="790"/>
      <c r="AL7" s="790"/>
      <c r="AM7" s="790"/>
      <c r="AN7" s="790"/>
      <c r="AO7" s="790"/>
      <c r="AP7" s="790"/>
      <c r="AQ7" s="790"/>
      <c r="AR7" s="674"/>
      <c r="AS7" s="674"/>
      <c r="AT7" s="674"/>
      <c r="AU7" s="674"/>
      <c r="AV7" s="674"/>
      <c r="AW7" s="674"/>
      <c r="AX7" s="674"/>
      <c r="AY7" s="674"/>
      <c r="AZ7" s="674"/>
      <c r="BA7" s="674"/>
      <c r="BB7" s="674"/>
      <c r="BC7" s="637"/>
      <c r="BD7" s="637"/>
      <c r="BE7" s="637"/>
      <c r="BF7" s="637"/>
      <c r="BG7" s="637"/>
      <c r="BH7" s="637"/>
      <c r="BI7" s="637"/>
      <c r="BJ7" s="637"/>
      <c r="BK7" s="637"/>
      <c r="BL7" s="637"/>
      <c r="BM7" s="637"/>
      <c r="BN7" s="637"/>
      <c r="BO7" s="637"/>
      <c r="BP7" s="637"/>
    </row>
    <row r="8" spans="1:68" s="245" customFormat="1" ht="14.25" customHeight="1">
      <c r="A8" s="505"/>
      <c r="B8" s="700" t="s">
        <v>564</v>
      </c>
      <c r="C8" s="213">
        <v>200</v>
      </c>
      <c r="D8" s="697" t="s">
        <v>0</v>
      </c>
      <c r="E8" s="694"/>
      <c r="F8" s="1022" t="s">
        <v>574</v>
      </c>
      <c r="G8" s="1023"/>
      <c r="H8" s="1023"/>
      <c r="I8" s="1023"/>
      <c r="J8" s="1023"/>
      <c r="K8" s="1024"/>
      <c r="L8" s="688"/>
      <c r="M8" s="688" t="s">
        <v>1141</v>
      </c>
      <c r="N8" s="788" t="s">
        <v>406</v>
      </c>
      <c r="O8" s="796">
        <v>8</v>
      </c>
      <c r="P8" s="796">
        <v>120</v>
      </c>
      <c r="Q8" s="796">
        <f>C20-(2*C20)</f>
        <v>-19</v>
      </c>
      <c r="R8" s="688"/>
      <c r="S8" s="688"/>
      <c r="T8" s="688"/>
      <c r="U8" s="688"/>
      <c r="V8" s="688" t="s">
        <v>537</v>
      </c>
      <c r="W8" s="790"/>
      <c r="X8" s="790"/>
      <c r="Y8" s="688"/>
      <c r="Z8" s="688"/>
      <c r="AA8" s="688"/>
      <c r="AB8" s="793"/>
      <c r="AC8" s="793"/>
      <c r="AD8" s="791"/>
      <c r="AE8" s="791"/>
      <c r="AF8" s="791"/>
      <c r="AG8" s="791"/>
      <c r="AH8" s="791"/>
      <c r="AI8" s="790"/>
      <c r="AJ8" s="790"/>
      <c r="AK8" s="790"/>
      <c r="AL8" s="790"/>
      <c r="AM8" s="790"/>
      <c r="AN8" s="790"/>
      <c r="AO8" s="790"/>
      <c r="AP8" s="790"/>
      <c r="AQ8" s="790"/>
      <c r="AR8" s="674"/>
      <c r="AS8" s="674"/>
      <c r="AT8" s="674"/>
      <c r="AU8" s="674"/>
      <c r="AV8" s="674"/>
      <c r="AW8" s="674"/>
      <c r="AX8" s="674"/>
      <c r="AY8" s="674"/>
      <c r="AZ8" s="674"/>
      <c r="BA8" s="674"/>
      <c r="BB8" s="674"/>
      <c r="BC8" s="637"/>
      <c r="BD8" s="637"/>
      <c r="BE8" s="637"/>
      <c r="BF8" s="637"/>
      <c r="BG8" s="637"/>
      <c r="BH8" s="637"/>
      <c r="BI8" s="637"/>
      <c r="BJ8" s="637"/>
      <c r="BK8" s="637"/>
      <c r="BL8" s="637"/>
      <c r="BM8" s="637"/>
      <c r="BN8" s="637"/>
      <c r="BO8" s="637"/>
      <c r="BP8" s="637"/>
    </row>
    <row r="9" spans="1:68" s="245" customFormat="1" ht="14.25" customHeight="1">
      <c r="A9" s="505"/>
      <c r="B9" s="701" t="s">
        <v>33</v>
      </c>
      <c r="C9" s="213">
        <v>10</v>
      </c>
      <c r="D9" s="697" t="s">
        <v>0</v>
      </c>
      <c r="E9" s="694"/>
      <c r="F9" s="692"/>
      <c r="G9" s="692"/>
      <c r="H9" s="692"/>
      <c r="I9" s="692"/>
      <c r="J9" s="692"/>
      <c r="K9" s="691"/>
      <c r="L9" s="688"/>
      <c r="M9" s="688" t="s">
        <v>1142</v>
      </c>
      <c r="N9" s="688"/>
      <c r="O9" s="688"/>
      <c r="P9" s="796">
        <v>140</v>
      </c>
      <c r="Q9" s="796">
        <v>30</v>
      </c>
      <c r="R9" s="688"/>
      <c r="S9" s="688"/>
      <c r="T9" s="688"/>
      <c r="U9" s="688"/>
      <c r="V9" s="790"/>
      <c r="W9" s="790"/>
      <c r="X9" s="790"/>
      <c r="Y9" s="688"/>
      <c r="Z9" s="688"/>
      <c r="AA9" s="688"/>
      <c r="AB9" s="793"/>
      <c r="AC9" s="793"/>
      <c r="AD9" s="791"/>
      <c r="AE9" s="791"/>
      <c r="AF9" s="791"/>
      <c r="AG9" s="791"/>
      <c r="AH9" s="791"/>
      <c r="AI9" s="790"/>
      <c r="AJ9" s="790"/>
      <c r="AK9" s="790"/>
      <c r="AL9" s="790"/>
      <c r="AM9" s="790"/>
      <c r="AN9" s="790"/>
      <c r="AO9" s="790"/>
      <c r="AP9" s="790"/>
      <c r="AQ9" s="790"/>
      <c r="AR9" s="674"/>
      <c r="AS9" s="674"/>
      <c r="AT9" s="674"/>
      <c r="AU9" s="674"/>
      <c r="AV9" s="674"/>
      <c r="AW9" s="674"/>
      <c r="AX9" s="674"/>
      <c r="AY9" s="674"/>
      <c r="AZ9" s="674"/>
      <c r="BA9" s="674"/>
      <c r="BB9" s="674"/>
      <c r="BC9" s="637"/>
      <c r="BD9" s="637"/>
      <c r="BE9" s="637"/>
      <c r="BF9" s="637"/>
      <c r="BG9" s="637"/>
      <c r="BH9" s="637"/>
      <c r="BI9" s="637"/>
      <c r="BJ9" s="637"/>
      <c r="BK9" s="637"/>
      <c r="BL9" s="637"/>
      <c r="BM9" s="637"/>
      <c r="BN9" s="637"/>
      <c r="BO9" s="637"/>
      <c r="BP9" s="637"/>
    </row>
    <row r="10" spans="1:68" s="245" customFormat="1" ht="14.25" customHeight="1">
      <c r="A10" s="505"/>
      <c r="B10" s="874" t="s">
        <v>207</v>
      </c>
      <c r="C10" s="213">
        <v>140</v>
      </c>
      <c r="D10" s="697" t="s">
        <v>0</v>
      </c>
      <c r="E10" s="695"/>
      <c r="F10" s="692"/>
      <c r="G10" s="692"/>
      <c r="H10" s="692"/>
      <c r="I10" s="692"/>
      <c r="J10" s="692"/>
      <c r="K10" s="691"/>
      <c r="L10" s="688"/>
      <c r="M10" s="688" t="s">
        <v>1143</v>
      </c>
      <c r="N10" s="688"/>
      <c r="O10" s="688"/>
      <c r="P10" s="796">
        <v>160</v>
      </c>
      <c r="Q10" s="796">
        <v>40</v>
      </c>
      <c r="R10" s="688"/>
      <c r="S10" s="688"/>
      <c r="T10" s="688"/>
      <c r="U10" s="688"/>
      <c r="V10" s="790"/>
      <c r="W10" s="790"/>
      <c r="X10" s="688"/>
      <c r="Y10" s="688"/>
      <c r="Z10" s="688"/>
      <c r="AA10" s="688"/>
      <c r="AB10" s="793"/>
      <c r="AC10" s="793"/>
      <c r="AD10" s="791"/>
      <c r="AE10" s="791"/>
      <c r="AF10" s="791"/>
      <c r="AG10" s="791"/>
      <c r="AH10" s="791"/>
      <c r="AI10" s="790"/>
      <c r="AJ10" s="790"/>
      <c r="AK10" s="790"/>
      <c r="AL10" s="790"/>
      <c r="AM10" s="790"/>
      <c r="AN10" s="790"/>
      <c r="AO10" s="790"/>
      <c r="AP10" s="790"/>
      <c r="AQ10" s="790"/>
      <c r="AR10" s="674"/>
      <c r="AS10" s="674"/>
      <c r="AT10" s="674"/>
      <c r="AU10" s="674"/>
      <c r="AV10" s="674"/>
      <c r="AW10" s="674"/>
      <c r="AX10" s="674"/>
      <c r="AY10" s="674"/>
      <c r="AZ10" s="674"/>
      <c r="BA10" s="674"/>
      <c r="BB10" s="674"/>
      <c r="BC10" s="637"/>
      <c r="BD10" s="637"/>
      <c r="BE10" s="637"/>
      <c r="BF10" s="637"/>
      <c r="BG10" s="637"/>
      <c r="BH10" s="637"/>
      <c r="BI10" s="637"/>
      <c r="BJ10" s="637"/>
      <c r="BK10" s="637"/>
      <c r="BL10" s="637"/>
      <c r="BM10" s="637"/>
      <c r="BN10" s="637"/>
      <c r="BO10" s="637"/>
      <c r="BP10" s="637"/>
    </row>
    <row r="11" spans="1:68" s="245" customFormat="1" ht="14.25" customHeight="1">
      <c r="A11" s="505"/>
      <c r="B11" s="991" t="s">
        <v>117</v>
      </c>
      <c r="C11" s="992"/>
      <c r="D11" s="992"/>
      <c r="E11" s="993"/>
      <c r="F11" s="692"/>
      <c r="G11" s="692"/>
      <c r="H11" s="692"/>
      <c r="I11" s="692"/>
      <c r="J11" s="692"/>
      <c r="K11" s="691"/>
      <c r="L11" s="688"/>
      <c r="M11" s="688" t="s">
        <v>1144</v>
      </c>
      <c r="N11" s="688"/>
      <c r="O11" s="688"/>
      <c r="P11" s="796">
        <v>180</v>
      </c>
      <c r="Q11" s="807">
        <v>50</v>
      </c>
      <c r="R11" s="688"/>
      <c r="S11" s="688"/>
      <c r="T11" s="688"/>
      <c r="U11" s="688"/>
      <c r="V11" s="790"/>
      <c r="W11" s="790"/>
      <c r="X11" s="688"/>
      <c r="Y11" s="688"/>
      <c r="Z11" s="688"/>
      <c r="AA11" s="688"/>
      <c r="AB11" s="793"/>
      <c r="AC11" s="793"/>
      <c r="AD11" s="791"/>
      <c r="AE11" s="791"/>
      <c r="AF11" s="791"/>
      <c r="AG11" s="791"/>
      <c r="AH11" s="791"/>
      <c r="AI11" s="790"/>
      <c r="AJ11" s="790"/>
      <c r="AK11" s="790"/>
      <c r="AL11" s="790"/>
      <c r="AM11" s="790"/>
      <c r="AN11" s="790"/>
      <c r="AO11" s="790"/>
      <c r="AP11" s="790"/>
      <c r="AQ11" s="790"/>
      <c r="AR11" s="674"/>
      <c r="AS11" s="674"/>
      <c r="AT11" s="674"/>
      <c r="AU11" s="674"/>
      <c r="AV11" s="674"/>
      <c r="AW11" s="674"/>
      <c r="AX11" s="674"/>
      <c r="AY11" s="674"/>
      <c r="AZ11" s="674"/>
      <c r="BA11" s="674"/>
      <c r="BB11" s="674"/>
      <c r="BC11" s="637"/>
      <c r="BD11" s="637"/>
      <c r="BE11" s="637"/>
      <c r="BF11" s="637"/>
      <c r="BG11" s="637"/>
      <c r="BH11" s="637"/>
      <c r="BI11" s="637"/>
      <c r="BJ11" s="637"/>
      <c r="BK11" s="637"/>
      <c r="BL11" s="637"/>
      <c r="BM11" s="637"/>
      <c r="BN11" s="637"/>
      <c r="BO11" s="637"/>
      <c r="BP11" s="637"/>
    </row>
    <row r="12" spans="1:68" s="245" customFormat="1" ht="14.25" customHeight="1">
      <c r="A12" s="505"/>
      <c r="B12" s="702" t="s">
        <v>206</v>
      </c>
      <c r="C12" s="1005" t="s">
        <v>210</v>
      </c>
      <c r="D12" s="1006"/>
      <c r="E12" s="1007"/>
      <c r="F12" s="692"/>
      <c r="G12" s="692"/>
      <c r="H12" s="692"/>
      <c r="I12" s="692"/>
      <c r="J12" s="692"/>
      <c r="K12" s="691"/>
      <c r="L12" s="688"/>
      <c r="M12" s="688" t="s">
        <v>1148</v>
      </c>
      <c r="N12" s="790"/>
      <c r="O12" s="688"/>
      <c r="P12" s="790"/>
      <c r="Q12" s="792">
        <v>60</v>
      </c>
      <c r="R12" s="688"/>
      <c r="S12" s="688"/>
      <c r="T12" s="808"/>
      <c r="U12" s="688"/>
      <c r="V12" s="790"/>
      <c r="W12" s="790"/>
      <c r="X12" s="688"/>
      <c r="Y12" s="688"/>
      <c r="Z12" s="688"/>
      <c r="AA12" s="688"/>
      <c r="AB12" s="793"/>
      <c r="AC12" s="793"/>
      <c r="AD12" s="791"/>
      <c r="AE12" s="791"/>
      <c r="AF12" s="791"/>
      <c r="AG12" s="791"/>
      <c r="AH12" s="791"/>
      <c r="AI12" s="790"/>
      <c r="AJ12" s="790"/>
      <c r="AK12" s="790"/>
      <c r="AL12" s="790"/>
      <c r="AM12" s="790"/>
      <c r="AN12" s="790"/>
      <c r="AO12" s="790"/>
      <c r="AP12" s="790"/>
      <c r="AQ12" s="790"/>
      <c r="AR12" s="674"/>
      <c r="AS12" s="674"/>
      <c r="AT12" s="674"/>
      <c r="AU12" s="674"/>
      <c r="AV12" s="674"/>
      <c r="AW12" s="674"/>
      <c r="AX12" s="674"/>
      <c r="AY12" s="674"/>
      <c r="AZ12" s="674"/>
      <c r="BA12" s="674"/>
      <c r="BB12" s="674"/>
      <c r="BC12" s="637"/>
      <c r="BD12" s="637"/>
      <c r="BE12" s="637"/>
      <c r="BF12" s="637"/>
      <c r="BG12" s="637"/>
      <c r="BH12" s="637"/>
      <c r="BI12" s="637"/>
      <c r="BJ12" s="637"/>
      <c r="BK12" s="637"/>
      <c r="BL12" s="637"/>
      <c r="BM12" s="637"/>
      <c r="BN12" s="637"/>
      <c r="BO12" s="637"/>
      <c r="BP12" s="637"/>
    </row>
    <row r="13" spans="1:68" s="245" customFormat="1" ht="14.25" customHeight="1">
      <c r="A13" s="505"/>
      <c r="B13" s="699" t="s">
        <v>25</v>
      </c>
      <c r="C13" s="1005" t="s">
        <v>526</v>
      </c>
      <c r="D13" s="1006"/>
      <c r="E13" s="1007"/>
      <c r="F13" s="866" t="str">
        <f>MID(C13,6,2)</f>
        <v>30</v>
      </c>
      <c r="G13" s="692"/>
      <c r="H13" s="692"/>
      <c r="I13" s="692"/>
      <c r="J13" s="692"/>
      <c r="K13" s="691"/>
      <c r="L13" s="688"/>
      <c r="M13" s="688" t="s">
        <v>1147</v>
      </c>
      <c r="N13" s="790"/>
      <c r="O13" s="688"/>
      <c r="P13" s="688"/>
      <c r="Q13" s="688"/>
      <c r="R13" s="688"/>
      <c r="S13" s="688"/>
      <c r="T13" s="808"/>
      <c r="U13" s="808"/>
      <c r="V13" s="790"/>
      <c r="W13" s="790"/>
      <c r="X13" s="688"/>
      <c r="Y13" s="688"/>
      <c r="Z13" s="688"/>
      <c r="AA13" s="688"/>
      <c r="AB13" s="793"/>
      <c r="AC13" s="793"/>
      <c r="AD13" s="791"/>
      <c r="AE13" s="791"/>
      <c r="AF13" s="791"/>
      <c r="AG13" s="791"/>
      <c r="AH13" s="791"/>
      <c r="AI13" s="790"/>
      <c r="AJ13" s="790"/>
      <c r="AK13" s="790"/>
      <c r="AL13" s="790"/>
      <c r="AM13" s="790"/>
      <c r="AN13" s="790"/>
      <c r="AO13" s="790"/>
      <c r="AP13" s="790"/>
      <c r="AQ13" s="790"/>
      <c r="AR13" s="674"/>
      <c r="AS13" s="674"/>
      <c r="AT13" s="674"/>
      <c r="AU13" s="674"/>
      <c r="AV13" s="674"/>
      <c r="AW13" s="674"/>
      <c r="AX13" s="674"/>
      <c r="AY13" s="674"/>
      <c r="AZ13" s="674"/>
      <c r="BA13" s="674"/>
      <c r="BB13" s="674"/>
      <c r="BC13" s="637"/>
      <c r="BD13" s="637"/>
      <c r="BE13" s="637"/>
      <c r="BF13" s="637"/>
      <c r="BG13" s="637"/>
      <c r="BH13" s="637"/>
      <c r="BI13" s="637"/>
      <c r="BJ13" s="637"/>
      <c r="BK13" s="637"/>
      <c r="BL13" s="637"/>
      <c r="BM13" s="637"/>
      <c r="BN13" s="637"/>
      <c r="BO13" s="637"/>
      <c r="BP13" s="637"/>
    </row>
    <row r="14" spans="1:68" s="245" customFormat="1" ht="16.7" customHeight="1">
      <c r="A14" s="505"/>
      <c r="B14" s="700" t="s">
        <v>1145</v>
      </c>
      <c r="C14" s="213">
        <v>1600</v>
      </c>
      <c r="D14" s="1029" t="s">
        <v>1146</v>
      </c>
      <c r="E14" s="1030"/>
      <c r="F14" s="866"/>
      <c r="G14" s="692"/>
      <c r="H14" s="692"/>
      <c r="I14" s="692"/>
      <c r="J14" s="692"/>
      <c r="K14" s="691"/>
      <c r="L14" s="688"/>
      <c r="M14" s="688" t="s">
        <v>1149</v>
      </c>
      <c r="N14" s="898"/>
      <c r="O14" s="688"/>
      <c r="P14" s="688"/>
      <c r="Q14" s="688"/>
      <c r="R14" s="688"/>
      <c r="S14" s="688"/>
      <c r="T14" s="808"/>
      <c r="U14" s="808"/>
      <c r="V14" s="790"/>
      <c r="W14" s="790"/>
      <c r="X14" s="688"/>
      <c r="Y14" s="688"/>
      <c r="Z14" s="688"/>
      <c r="AA14" s="688"/>
      <c r="AB14" s="793"/>
      <c r="AC14" s="793"/>
      <c r="AD14" s="791"/>
      <c r="AE14" s="791"/>
      <c r="AF14" s="791"/>
      <c r="AG14" s="791"/>
      <c r="AH14" s="791"/>
      <c r="AI14" s="790"/>
      <c r="AJ14" s="790"/>
      <c r="AK14" s="790"/>
      <c r="AL14" s="790"/>
      <c r="AM14" s="790"/>
      <c r="AN14" s="790"/>
      <c r="AO14" s="790"/>
      <c r="AP14" s="790"/>
      <c r="AQ14" s="790"/>
      <c r="AR14" s="674"/>
      <c r="AS14" s="674"/>
      <c r="AT14" s="674"/>
      <c r="AU14" s="674"/>
      <c r="AV14" s="674"/>
      <c r="AW14" s="674"/>
      <c r="AX14" s="674"/>
      <c r="AY14" s="674"/>
      <c r="AZ14" s="674"/>
      <c r="BA14" s="674"/>
      <c r="BB14" s="674"/>
      <c r="BC14" s="637"/>
      <c r="BD14" s="637"/>
      <c r="BE14" s="637"/>
      <c r="BF14" s="637"/>
      <c r="BG14" s="637"/>
      <c r="BH14" s="637"/>
      <c r="BI14" s="637"/>
      <c r="BJ14" s="637"/>
      <c r="BK14" s="637"/>
      <c r="BL14" s="637"/>
      <c r="BM14" s="637"/>
      <c r="BN14" s="637"/>
      <c r="BO14" s="637"/>
      <c r="BP14" s="637"/>
    </row>
    <row r="15" spans="1:68" s="245" customFormat="1" ht="14.25" customHeight="1">
      <c r="A15" s="505"/>
      <c r="B15" s="703" t="s">
        <v>575</v>
      </c>
      <c r="C15" s="1005" t="s">
        <v>472</v>
      </c>
      <c r="D15" s="1006"/>
      <c r="E15" s="1007"/>
      <c r="F15" s="692"/>
      <c r="G15" s="692"/>
      <c r="H15" s="692"/>
      <c r="I15" s="692"/>
      <c r="J15" s="692"/>
      <c r="K15" s="691"/>
      <c r="L15" s="790"/>
      <c r="M15" s="688" t="s">
        <v>325</v>
      </c>
      <c r="N15" s="899"/>
      <c r="O15" s="688"/>
      <c r="P15" s="792"/>
      <c r="Q15" s="688"/>
      <c r="R15" s="688" t="s">
        <v>213</v>
      </c>
      <c r="S15" s="688">
        <f>C7-C17-C9</f>
        <v>930</v>
      </c>
      <c r="T15" s="688" t="s">
        <v>0</v>
      </c>
      <c r="U15" s="688"/>
      <c r="V15" s="790"/>
      <c r="W15" s="790"/>
      <c r="X15" s="688"/>
      <c r="Y15" s="688"/>
      <c r="Z15" s="688"/>
      <c r="AA15" s="688"/>
      <c r="AB15" s="793"/>
      <c r="AC15" s="793"/>
      <c r="AD15" s="791"/>
      <c r="AE15" s="791"/>
      <c r="AF15" s="791"/>
      <c r="AG15" s="791"/>
      <c r="AH15" s="791"/>
      <c r="AI15" s="790"/>
      <c r="AJ15" s="790"/>
      <c r="AK15" s="790"/>
      <c r="AL15" s="790"/>
      <c r="AM15" s="790"/>
      <c r="AN15" s="790"/>
      <c r="AO15" s="790"/>
      <c r="AP15" s="790"/>
      <c r="AQ15" s="790"/>
      <c r="AR15" s="674"/>
      <c r="AS15" s="674"/>
      <c r="AT15" s="674"/>
      <c r="AU15" s="674"/>
      <c r="AV15" s="674"/>
      <c r="AW15" s="674"/>
      <c r="AX15" s="674"/>
      <c r="AY15" s="674"/>
      <c r="AZ15" s="674"/>
      <c r="BA15" s="674"/>
      <c r="BB15" s="674"/>
      <c r="BC15" s="637"/>
      <c r="BD15" s="637"/>
      <c r="BE15" s="637"/>
      <c r="BF15" s="637"/>
      <c r="BG15" s="637"/>
      <c r="BH15" s="637"/>
      <c r="BI15" s="637"/>
      <c r="BJ15" s="637"/>
      <c r="BK15" s="637"/>
      <c r="BL15" s="637"/>
      <c r="BM15" s="637"/>
      <c r="BN15" s="637"/>
      <c r="BO15" s="637"/>
      <c r="BP15" s="637"/>
    </row>
    <row r="16" spans="1:68" s="245" customFormat="1" ht="14.25" customHeight="1">
      <c r="A16" s="505"/>
      <c r="B16" s="699" t="s">
        <v>126</v>
      </c>
      <c r="C16" s="646">
        <v>300</v>
      </c>
      <c r="D16" s="696" t="s">
        <v>0</v>
      </c>
      <c r="E16" s="693"/>
      <c r="F16" s="692"/>
      <c r="G16" s="692"/>
      <c r="H16" s="692"/>
      <c r="I16" s="692"/>
      <c r="J16" s="692"/>
      <c r="K16" s="691"/>
      <c r="L16" s="688"/>
      <c r="M16" s="688" t="s">
        <v>326</v>
      </c>
      <c r="N16" s="897"/>
      <c r="O16" s="688"/>
      <c r="P16" s="688"/>
      <c r="Q16" s="688"/>
      <c r="R16" s="688" t="s">
        <v>214</v>
      </c>
      <c r="S16" s="688">
        <f>C7-C9</f>
        <v>1190</v>
      </c>
      <c r="T16" s="688" t="s">
        <v>0</v>
      </c>
      <c r="U16" s="688"/>
      <c r="V16" s="792"/>
      <c r="W16" s="792"/>
      <c r="X16" s="688"/>
      <c r="Y16" s="688"/>
      <c r="Z16" s="688"/>
      <c r="AA16" s="688"/>
      <c r="AB16" s="793"/>
      <c r="AC16" s="793"/>
      <c r="AD16" s="791"/>
      <c r="AE16" s="791"/>
      <c r="AF16" s="791"/>
      <c r="AG16" s="791"/>
      <c r="AH16" s="791"/>
      <c r="AI16" s="790"/>
      <c r="AJ16" s="790"/>
      <c r="AK16" s="790"/>
      <c r="AL16" s="790"/>
      <c r="AM16" s="790"/>
      <c r="AN16" s="790"/>
      <c r="AO16" s="790"/>
      <c r="AP16" s="790"/>
      <c r="AQ16" s="790"/>
      <c r="AR16" s="674"/>
      <c r="AS16" s="674"/>
      <c r="AT16" s="674"/>
      <c r="AU16" s="674"/>
      <c r="AV16" s="674"/>
      <c r="AW16" s="674"/>
      <c r="AX16" s="674"/>
      <c r="AY16" s="674"/>
      <c r="AZ16" s="674"/>
      <c r="BA16" s="674"/>
      <c r="BB16" s="674"/>
      <c r="BC16" s="637"/>
      <c r="BD16" s="637"/>
      <c r="BE16" s="637"/>
      <c r="BF16" s="637"/>
      <c r="BG16" s="637"/>
      <c r="BH16" s="637"/>
      <c r="BI16" s="637"/>
      <c r="BJ16" s="637"/>
      <c r="BK16" s="637"/>
      <c r="BL16" s="637"/>
      <c r="BM16" s="637"/>
      <c r="BN16" s="637"/>
      <c r="BO16" s="637"/>
      <c r="BP16" s="637"/>
    </row>
    <row r="17" spans="1:68" s="245" customFormat="1" ht="14.25" customHeight="1">
      <c r="A17" s="505"/>
      <c r="B17" s="700" t="s">
        <v>561</v>
      </c>
      <c r="C17" s="646">
        <v>260</v>
      </c>
      <c r="D17" s="709" t="s">
        <v>0</v>
      </c>
      <c r="E17" s="694"/>
      <c r="F17" s="692"/>
      <c r="G17" s="692"/>
      <c r="H17" s="692"/>
      <c r="I17" s="692"/>
      <c r="J17" s="692"/>
      <c r="K17" s="691"/>
      <c r="L17" s="688"/>
      <c r="M17" s="790" t="s">
        <v>1179</v>
      </c>
      <c r="N17" s="900"/>
      <c r="O17" s="808">
        <f>(((C7+C16+350)*C18)+101500)*(IF(N2=0,2500,C14)/100000000*0.63)</f>
        <v>5.8235625000000004</v>
      </c>
      <c r="P17" s="688" t="s">
        <v>616</v>
      </c>
      <c r="Q17" s="688"/>
      <c r="R17" s="688"/>
      <c r="S17" s="688"/>
      <c r="T17" s="688"/>
      <c r="U17" s="688"/>
      <c r="V17" s="688"/>
      <c r="W17" s="688"/>
      <c r="X17" s="688"/>
      <c r="Y17" s="688"/>
      <c r="Z17" s="688"/>
      <c r="AA17" s="688"/>
      <c r="AB17" s="792"/>
      <c r="AC17" s="792"/>
      <c r="AD17" s="688"/>
      <c r="AE17" s="688"/>
      <c r="AF17" s="688"/>
      <c r="AG17" s="688"/>
      <c r="AH17" s="688"/>
      <c r="AI17" s="790"/>
      <c r="AJ17" s="790"/>
      <c r="AK17" s="790"/>
      <c r="AL17" s="790"/>
      <c r="AM17" s="790"/>
      <c r="AN17" s="790"/>
      <c r="AO17" s="790"/>
      <c r="AP17" s="790"/>
      <c r="AQ17" s="790"/>
      <c r="AR17" s="674"/>
      <c r="AS17" s="674"/>
      <c r="AT17" s="674"/>
      <c r="AU17" s="674"/>
      <c r="AV17" s="674"/>
      <c r="AW17" s="674"/>
      <c r="AX17" s="674"/>
      <c r="AY17" s="674"/>
      <c r="AZ17" s="674"/>
      <c r="BA17" s="674"/>
      <c r="BB17" s="674"/>
      <c r="BC17" s="637"/>
      <c r="BD17" s="637"/>
      <c r="BE17" s="637"/>
      <c r="BF17" s="637"/>
      <c r="BG17" s="637"/>
      <c r="BH17" s="637"/>
      <c r="BI17" s="637"/>
      <c r="BJ17" s="637"/>
      <c r="BK17" s="637"/>
      <c r="BL17" s="637"/>
      <c r="BM17" s="637"/>
      <c r="BN17" s="637"/>
      <c r="BO17" s="637"/>
      <c r="BP17" s="637"/>
    </row>
    <row r="18" spans="1:68" s="245" customFormat="1" ht="14.25" customHeight="1">
      <c r="A18" s="505"/>
      <c r="B18" s="704" t="s">
        <v>139</v>
      </c>
      <c r="C18" s="214">
        <v>145</v>
      </c>
      <c r="D18" s="709" t="s">
        <v>0</v>
      </c>
      <c r="E18" s="694"/>
      <c r="F18" s="692"/>
      <c r="G18" s="692"/>
      <c r="H18" s="692"/>
      <c r="I18" s="692"/>
      <c r="J18" s="692"/>
      <c r="K18" s="691"/>
      <c r="L18" s="688"/>
      <c r="M18" s="809"/>
      <c r="N18" s="900"/>
      <c r="O18" s="984" t="s">
        <v>221</v>
      </c>
      <c r="P18" s="984"/>
      <c r="Q18" s="809" t="s">
        <v>327</v>
      </c>
      <c r="R18" s="877"/>
      <c r="S18" s="688"/>
      <c r="T18" s="688"/>
      <c r="U18" s="688"/>
      <c r="V18" s="792"/>
      <c r="W18" s="792"/>
      <c r="X18" s="688"/>
      <c r="Y18" s="688"/>
      <c r="Z18" s="688"/>
      <c r="AA18" s="688"/>
      <c r="AB18" s="792"/>
      <c r="AC18" s="792"/>
      <c r="AD18" s="688"/>
      <c r="AE18" s="688"/>
      <c r="AF18" s="688"/>
      <c r="AG18" s="688"/>
      <c r="AH18" s="688"/>
      <c r="AI18" s="790"/>
      <c r="AJ18" s="790"/>
      <c r="AK18" s="790"/>
      <c r="AL18" s="790"/>
      <c r="AM18" s="790"/>
      <c r="AN18" s="790"/>
      <c r="AO18" s="790"/>
      <c r="AP18" s="790"/>
      <c r="AQ18" s="790"/>
      <c r="AR18" s="674"/>
      <c r="AS18" s="674"/>
      <c r="AT18" s="674"/>
      <c r="AU18" s="674"/>
      <c r="AV18" s="674"/>
      <c r="AW18" s="674"/>
      <c r="AX18" s="674"/>
      <c r="AY18" s="674"/>
      <c r="AZ18" s="674"/>
      <c r="BA18" s="674"/>
      <c r="BB18" s="674"/>
      <c r="BC18" s="637"/>
      <c r="BD18" s="637"/>
      <c r="BE18" s="637"/>
      <c r="BF18" s="637"/>
      <c r="BG18" s="637"/>
      <c r="BH18" s="637"/>
      <c r="BI18" s="637"/>
      <c r="BJ18" s="637"/>
      <c r="BK18" s="637"/>
      <c r="BL18" s="637"/>
      <c r="BM18" s="637"/>
      <c r="BN18" s="637"/>
      <c r="BO18" s="637"/>
      <c r="BP18" s="637"/>
    </row>
    <row r="19" spans="1:68" s="245" customFormat="1" ht="14.25" customHeight="1">
      <c r="A19" s="505"/>
      <c r="B19" s="705" t="s">
        <v>410</v>
      </c>
      <c r="C19" s="214">
        <v>50</v>
      </c>
      <c r="D19" s="709" t="s">
        <v>0</v>
      </c>
      <c r="E19" s="711"/>
      <c r="F19" s="692"/>
      <c r="G19" s="692"/>
      <c r="H19" s="692"/>
      <c r="I19" s="692"/>
      <c r="J19" s="692"/>
      <c r="K19" s="691"/>
      <c r="L19" s="688"/>
      <c r="M19" s="809" t="s">
        <v>219</v>
      </c>
      <c r="N19" s="688"/>
      <c r="O19" s="877" t="s">
        <v>211</v>
      </c>
      <c r="P19" s="877" t="s">
        <v>212</v>
      </c>
      <c r="Q19" s="877" t="s">
        <v>211</v>
      </c>
      <c r="R19" s="877" t="s">
        <v>212</v>
      </c>
      <c r="S19" s="688"/>
      <c r="T19" s="688"/>
      <c r="U19" s="688"/>
      <c r="V19" s="792"/>
      <c r="W19" s="792"/>
      <c r="X19" s="688"/>
      <c r="Y19" s="688"/>
      <c r="Z19" s="688"/>
      <c r="AA19" s="688"/>
      <c r="AB19" s="688"/>
      <c r="AC19" s="688"/>
      <c r="AD19" s="688"/>
      <c r="AE19" s="688"/>
      <c r="AF19" s="688"/>
      <c r="AG19" s="688"/>
      <c r="AH19" s="688"/>
      <c r="AI19" s="790"/>
      <c r="AJ19" s="790"/>
      <c r="AK19" s="790"/>
      <c r="AL19" s="790"/>
      <c r="AM19" s="790"/>
      <c r="AN19" s="790"/>
      <c r="AO19" s="790"/>
      <c r="AP19" s="790"/>
      <c r="AQ19" s="790"/>
      <c r="AR19" s="674"/>
      <c r="AS19" s="674"/>
      <c r="AT19" s="674"/>
      <c r="AU19" s="674"/>
      <c r="AV19" s="674"/>
      <c r="AW19" s="674"/>
      <c r="AX19" s="674"/>
      <c r="AY19" s="674"/>
      <c r="AZ19" s="674"/>
      <c r="BA19" s="674"/>
      <c r="BB19" s="674"/>
      <c r="BC19" s="637"/>
      <c r="BD19" s="637"/>
      <c r="BE19" s="637"/>
      <c r="BF19" s="637"/>
      <c r="BG19" s="637"/>
      <c r="BH19" s="637"/>
      <c r="BI19" s="637"/>
      <c r="BJ19" s="637"/>
      <c r="BK19" s="637"/>
      <c r="BL19" s="637"/>
      <c r="BM19" s="637"/>
      <c r="BN19" s="637"/>
      <c r="BO19" s="637"/>
      <c r="BP19" s="637"/>
    </row>
    <row r="20" spans="1:68" s="245" customFormat="1" ht="14.25" customHeight="1">
      <c r="A20" s="505"/>
      <c r="B20" s="705" t="s">
        <v>412</v>
      </c>
      <c r="C20" s="707">
        <f>W44</f>
        <v>19</v>
      </c>
      <c r="D20" s="709" t="s">
        <v>0</v>
      </c>
      <c r="E20" s="711"/>
      <c r="F20" s="692"/>
      <c r="G20" s="692"/>
      <c r="H20" s="692"/>
      <c r="I20" s="692"/>
      <c r="J20" s="692"/>
      <c r="K20" s="691"/>
      <c r="L20" s="688"/>
      <c r="M20" s="688" t="s">
        <v>222</v>
      </c>
      <c r="N20" s="810" t="s">
        <v>1181</v>
      </c>
      <c r="O20" s="876">
        <f>IF(G5="Zweireihige Ankeranordnung",(C25*1000/(S16+S15^2/S16))-N16,(C25*1000/(C7-C9))-N15)*J28/1000</f>
        <v>4.2779482683033754</v>
      </c>
      <c r="P20" s="876">
        <f>IF(G5="Zweireihige Ankeranordnung",(C25*1000/(S15+S16^2/S15))-N16,0)*J28/1000</f>
        <v>3.3432704953967556</v>
      </c>
      <c r="Q20" s="876">
        <f>IF(G5="Zweireihige Ankeranordnung",(C25*1000/(S16+S15^2/S16))-N16,(C25*1000/(C7-C9))-N15)*J28/1000</f>
        <v>4.2779482683033754</v>
      </c>
      <c r="R20" s="876">
        <f>IF(G5="Zweireihige Ankeranordnung",(C25*1000/(S15+S16^2/S15))-N16,0)*J28/1000</f>
        <v>3.3432704953967556</v>
      </c>
      <c r="S20" s="688"/>
      <c r="T20" s="688"/>
      <c r="U20" s="688"/>
      <c r="V20" s="792"/>
      <c r="W20" s="792"/>
      <c r="X20" s="688"/>
      <c r="Y20" s="688"/>
      <c r="Z20" s="688"/>
      <c r="AA20" s="688"/>
      <c r="AB20" s="792"/>
      <c r="AC20" s="792"/>
      <c r="AD20" s="688"/>
      <c r="AE20" s="688"/>
      <c r="AF20" s="688"/>
      <c r="AG20" s="688"/>
      <c r="AH20" s="688"/>
      <c r="AI20" s="790"/>
      <c r="AJ20" s="790"/>
      <c r="AK20" s="790"/>
      <c r="AL20" s="790"/>
      <c r="AM20" s="790"/>
      <c r="AN20" s="790"/>
      <c r="AO20" s="790"/>
      <c r="AP20" s="790"/>
      <c r="AQ20" s="790"/>
      <c r="AR20" s="674"/>
      <c r="AS20" s="674"/>
      <c r="AT20" s="674"/>
      <c r="AU20" s="674"/>
      <c r="AV20" s="674"/>
      <c r="AW20" s="674"/>
      <c r="AX20" s="674"/>
      <c r="AY20" s="674"/>
      <c r="AZ20" s="674"/>
      <c r="BA20" s="674"/>
      <c r="BB20" s="674"/>
      <c r="BC20" s="637"/>
      <c r="BD20" s="637"/>
      <c r="BE20" s="637"/>
      <c r="BF20" s="637"/>
      <c r="BG20" s="637"/>
      <c r="BH20" s="637"/>
      <c r="BI20" s="637"/>
      <c r="BJ20" s="637"/>
      <c r="BK20" s="637"/>
      <c r="BL20" s="637"/>
      <c r="BM20" s="637"/>
      <c r="BN20" s="637"/>
      <c r="BO20" s="637"/>
      <c r="BP20" s="637"/>
    </row>
    <row r="21" spans="1:68" s="245" customFormat="1" ht="14.25" customHeight="1">
      <c r="A21" s="505"/>
      <c r="B21" s="706" t="s">
        <v>411</v>
      </c>
      <c r="C21" s="708">
        <f>T58</f>
        <v>76</v>
      </c>
      <c r="D21" s="709" t="s">
        <v>0</v>
      </c>
      <c r="E21" s="712"/>
      <c r="F21" s="692"/>
      <c r="G21" s="692"/>
      <c r="H21" s="692"/>
      <c r="I21" s="692"/>
      <c r="J21" s="692"/>
      <c r="K21" s="691"/>
      <c r="L21" s="688"/>
      <c r="M21" s="688" t="s">
        <v>215</v>
      </c>
      <c r="N21" s="810" t="s">
        <v>1182</v>
      </c>
      <c r="O21" s="876">
        <f>IF(G5="Einreihige Ankeranordnung",((C26-O17)/1000*J28)+C29,(((C26-O17)/2)/1000*J28)+(C29/2))</f>
        <v>27.194109375</v>
      </c>
      <c r="P21" s="876">
        <f>(IF(G5="Einreihige Ankeranordnung",0,(((C26-O17)/2)/1000*J28)+(C29/2)))</f>
        <v>27.194109375</v>
      </c>
      <c r="Q21" s="876">
        <f>IF(G5="Einreihige Ankeranordnung",C29,C29/2)</f>
        <v>6</v>
      </c>
      <c r="R21" s="876">
        <f>(IF(G5="Einreihige Ankeranordnung",0,C29/2))</f>
        <v>6</v>
      </c>
      <c r="S21" s="688"/>
      <c r="T21" s="688"/>
      <c r="U21" s="688"/>
      <c r="V21" s="792"/>
      <c r="W21" s="792"/>
      <c r="X21" s="688"/>
      <c r="Y21" s="688"/>
      <c r="Z21" s="688"/>
      <c r="AA21" s="688"/>
      <c r="AB21" s="792"/>
      <c r="AC21" s="792"/>
      <c r="AD21" s="688"/>
      <c r="AE21" s="688"/>
      <c r="AF21" s="688"/>
      <c r="AG21" s="688"/>
      <c r="AH21" s="688"/>
      <c r="AI21" s="790"/>
      <c r="AJ21" s="790"/>
      <c r="AK21" s="790"/>
      <c r="AL21" s="790"/>
      <c r="AM21" s="790"/>
      <c r="AN21" s="790"/>
      <c r="AO21" s="790"/>
      <c r="AP21" s="790"/>
      <c r="AQ21" s="790"/>
      <c r="AR21" s="674"/>
      <c r="AS21" s="674"/>
      <c r="AT21" s="674"/>
      <c r="AU21" s="674"/>
      <c r="AV21" s="674"/>
      <c r="AW21" s="674"/>
      <c r="AX21" s="674"/>
      <c r="AY21" s="674"/>
      <c r="AZ21" s="674"/>
      <c r="BA21" s="674"/>
      <c r="BB21" s="674"/>
      <c r="BC21" s="637"/>
      <c r="BD21" s="637"/>
      <c r="BE21" s="637"/>
      <c r="BF21" s="637"/>
      <c r="BG21" s="637"/>
      <c r="BH21" s="637"/>
      <c r="BI21" s="637"/>
      <c r="BJ21" s="637"/>
      <c r="BK21" s="637"/>
      <c r="BL21" s="637"/>
      <c r="BM21" s="637"/>
      <c r="BN21" s="637"/>
      <c r="BO21" s="637"/>
      <c r="BP21" s="637"/>
    </row>
    <row r="22" spans="1:68" s="245" customFormat="1" ht="14.25" customHeight="1">
      <c r="A22" s="505"/>
      <c r="B22" s="874" t="s">
        <v>420</v>
      </c>
      <c r="C22" s="359">
        <f>C10+C21+C20+O105</f>
        <v>243</v>
      </c>
      <c r="D22" s="710" t="s">
        <v>0</v>
      </c>
      <c r="E22" s="695"/>
      <c r="F22" s="692"/>
      <c r="G22" s="692"/>
      <c r="H22" s="692"/>
      <c r="I22" s="692"/>
      <c r="J22" s="692"/>
      <c r="K22" s="691"/>
      <c r="L22" s="688"/>
      <c r="M22" s="688" t="s">
        <v>216</v>
      </c>
      <c r="N22" s="810" t="s">
        <v>1183</v>
      </c>
      <c r="O22" s="876">
        <f>((C26-O17)/1000*J28)+C29</f>
        <v>54.38821875</v>
      </c>
      <c r="P22" s="876">
        <f>IF(G5="Einreihige Ankeranordnung",0,(((C26-O17)/2)/1000*J28)+(C29/2))</f>
        <v>27.194109375</v>
      </c>
      <c r="Q22" s="876">
        <f>C29</f>
        <v>12</v>
      </c>
      <c r="R22" s="876">
        <f>IF(G5="Einreihige Ankeranordnung",0,C29/2)</f>
        <v>6</v>
      </c>
      <c r="S22" s="688"/>
      <c r="T22" s="688"/>
      <c r="U22" s="688"/>
      <c r="V22" s="792"/>
      <c r="W22" s="792"/>
      <c r="X22" s="688"/>
      <c r="Y22" s="688"/>
      <c r="Z22" s="688"/>
      <c r="AA22" s="688"/>
      <c r="AB22" s="792"/>
      <c r="AC22" s="792"/>
      <c r="AD22" s="688"/>
      <c r="AE22" s="688"/>
      <c r="AF22" s="688"/>
      <c r="AG22" s="688"/>
      <c r="AH22" s="688"/>
      <c r="AI22" s="790"/>
      <c r="AJ22" s="790"/>
      <c r="AK22" s="790"/>
      <c r="AL22" s="790"/>
      <c r="AM22" s="790"/>
      <c r="AN22" s="790"/>
      <c r="AO22" s="790"/>
      <c r="AP22" s="790"/>
      <c r="AQ22" s="790"/>
      <c r="AR22" s="674"/>
      <c r="AS22" s="674"/>
      <c r="AT22" s="674"/>
      <c r="AU22" s="674"/>
      <c r="AV22" s="674"/>
      <c r="AW22" s="674"/>
      <c r="AX22" s="674"/>
      <c r="AY22" s="674"/>
      <c r="AZ22" s="674"/>
      <c r="BA22" s="674"/>
      <c r="BB22" s="674"/>
      <c r="BC22" s="637"/>
      <c r="BD22" s="637"/>
      <c r="BE22" s="637"/>
      <c r="BF22" s="637"/>
      <c r="BG22" s="637"/>
      <c r="BH22" s="637"/>
      <c r="BI22" s="637"/>
      <c r="BJ22" s="637"/>
      <c r="BK22" s="637"/>
      <c r="BL22" s="637"/>
      <c r="BM22" s="637"/>
      <c r="BN22" s="637"/>
      <c r="BO22" s="637"/>
      <c r="BP22" s="637"/>
    </row>
    <row r="23" spans="1:68" s="245" customFormat="1" ht="14.25" customHeight="1">
      <c r="A23" s="505"/>
      <c r="B23" s="991" t="s">
        <v>176</v>
      </c>
      <c r="C23" s="992"/>
      <c r="D23" s="992"/>
      <c r="E23" s="993"/>
      <c r="F23" s="692"/>
      <c r="G23" s="692"/>
      <c r="H23" s="692"/>
      <c r="I23" s="692"/>
      <c r="J23" s="692"/>
      <c r="K23" s="691"/>
      <c r="L23" s="688"/>
      <c r="M23" s="688" t="s">
        <v>217</v>
      </c>
      <c r="N23" s="810" t="s">
        <v>1182</v>
      </c>
      <c r="O23" s="876">
        <f>IF(G5="Einreihige Ankeranordnung",((C26-O17)/1000*J28)+C29,(((C26-O17)/2)/1000*J28)+(C29/2))</f>
        <v>27.194109375</v>
      </c>
      <c r="P23" s="876">
        <f>IF(G5="Einreihige Ankeranordnung",0,((C26-O17)/1000*J28)+C29)</f>
        <v>54.38821875</v>
      </c>
      <c r="Q23" s="876">
        <f>IF(G5="Einreihige Ankeranordnung",C29,C29/2)</f>
        <v>6</v>
      </c>
      <c r="R23" s="876">
        <f>IF(G5="Einreihige Ankeranordnung",0,C29)</f>
        <v>12</v>
      </c>
      <c r="S23" s="688"/>
      <c r="T23" s="688"/>
      <c r="U23" s="688"/>
      <c r="V23" s="811" t="str">
        <f>Q37</f>
        <v>Kappenanker HCC M16</v>
      </c>
      <c r="W23" s="792" t="str">
        <f>Q38</f>
        <v>Kappenanker HCC M20</v>
      </c>
      <c r="X23" s="792" t="str">
        <f>Q39</f>
        <v>Kappenanker HCC M24</v>
      </c>
      <c r="Y23" s="792">
        <f>Q40</f>
        <v>0</v>
      </c>
      <c r="Z23" s="811">
        <f>Q41</f>
        <v>0</v>
      </c>
      <c r="AA23" s="792"/>
      <c r="AB23" s="792"/>
      <c r="AC23" s="792"/>
      <c r="AD23" s="688"/>
      <c r="AE23" s="688"/>
      <c r="AF23" s="688"/>
      <c r="AG23" s="688"/>
      <c r="AH23" s="688"/>
      <c r="AI23" s="790"/>
      <c r="AJ23" s="790"/>
      <c r="AK23" s="790"/>
      <c r="AL23" s="790"/>
      <c r="AM23" s="790"/>
      <c r="AN23" s="790"/>
      <c r="AO23" s="790"/>
      <c r="AP23" s="790"/>
      <c r="AQ23" s="790"/>
      <c r="AR23" s="674"/>
      <c r="AS23" s="674"/>
      <c r="AT23" s="674"/>
      <c r="AU23" s="674"/>
      <c r="AV23" s="674"/>
      <c r="AW23" s="674"/>
      <c r="AX23" s="674"/>
      <c r="AY23" s="674"/>
      <c r="AZ23" s="674"/>
      <c r="BA23" s="674"/>
      <c r="BB23" s="674"/>
      <c r="BC23" s="637"/>
      <c r="BD23" s="637"/>
      <c r="BE23" s="637"/>
      <c r="BF23" s="637"/>
      <c r="BG23" s="637"/>
      <c r="BH23" s="637"/>
      <c r="BI23" s="637"/>
      <c r="BJ23" s="637"/>
      <c r="BK23" s="637"/>
      <c r="BL23" s="637"/>
      <c r="BM23" s="637"/>
      <c r="BN23" s="637"/>
      <c r="BO23" s="637"/>
      <c r="BP23" s="637"/>
    </row>
    <row r="24" spans="1:68" s="245" customFormat="1" ht="14.25" customHeight="1">
      <c r="A24" s="505"/>
      <c r="B24" s="717" t="s">
        <v>288</v>
      </c>
      <c r="C24" s="1005" t="s">
        <v>510</v>
      </c>
      <c r="D24" s="1006"/>
      <c r="E24" s="1007"/>
      <c r="F24" s="692"/>
      <c r="G24" s="692"/>
      <c r="H24" s="692"/>
      <c r="I24" s="692"/>
      <c r="J24" s="692"/>
      <c r="K24" s="691"/>
      <c r="L24" s="688"/>
      <c r="M24" s="688"/>
      <c r="N24" s="688"/>
      <c r="O24" s="688"/>
      <c r="P24" s="688"/>
      <c r="Q24" s="688"/>
      <c r="R24" s="688"/>
      <c r="S24" s="688"/>
      <c r="T24" s="688"/>
      <c r="U24" s="812" t="str">
        <f>Tragwerk!A16</f>
        <v>cmin gerissener Beton</v>
      </c>
      <c r="V24" s="792">
        <f>Tragwerk!B16</f>
        <v>80</v>
      </c>
      <c r="W24" s="792">
        <f>Tragwerk!C16</f>
        <v>100</v>
      </c>
      <c r="X24" s="792">
        <v>120</v>
      </c>
      <c r="Y24" s="792">
        <f>Tragwerk!D16</f>
        <v>120</v>
      </c>
      <c r="Z24" s="792">
        <f>Tragwerk!D16</f>
        <v>120</v>
      </c>
      <c r="AA24" s="813">
        <f>INDEX($V$24:$X$28,1,MATCH($C$4,$V$23:$X$23))</f>
        <v>120</v>
      </c>
      <c r="AB24" s="792" t="s">
        <v>92</v>
      </c>
      <c r="AC24" s="792">
        <f>AA24</f>
        <v>120</v>
      </c>
      <c r="AD24" s="688"/>
      <c r="AE24" s="688"/>
      <c r="AF24" s="688"/>
      <c r="AG24" s="688"/>
      <c r="AH24" s="688"/>
      <c r="AI24" s="790"/>
      <c r="AJ24" s="790"/>
      <c r="AK24" s="790"/>
      <c r="AL24" s="790"/>
      <c r="AM24" s="790"/>
      <c r="AN24" s="790"/>
      <c r="AO24" s="790"/>
      <c r="AP24" s="790"/>
      <c r="AQ24" s="790"/>
      <c r="AR24" s="674"/>
      <c r="AS24" s="674"/>
      <c r="AT24" s="674"/>
      <c r="AU24" s="674"/>
      <c r="AV24" s="674"/>
      <c r="AW24" s="674"/>
      <c r="AX24" s="674"/>
      <c r="AY24" s="674"/>
      <c r="AZ24" s="674"/>
      <c r="BA24" s="674"/>
      <c r="BB24" s="674"/>
      <c r="BC24" s="637"/>
      <c r="BD24" s="637"/>
      <c r="BE24" s="637"/>
      <c r="BF24" s="637"/>
      <c r="BG24" s="637"/>
      <c r="BH24" s="637"/>
      <c r="BI24" s="637"/>
      <c r="BJ24" s="637"/>
      <c r="BK24" s="637"/>
      <c r="BL24" s="637"/>
      <c r="BM24" s="637"/>
      <c r="BN24" s="637"/>
      <c r="BO24" s="637"/>
      <c r="BP24" s="637"/>
    </row>
    <row r="25" spans="1:68" s="245" customFormat="1" ht="14.15" customHeight="1">
      <c r="A25" s="505"/>
      <c r="B25" s="716" t="s">
        <v>286</v>
      </c>
      <c r="C25" s="215">
        <v>16.399999999999999</v>
      </c>
      <c r="D25" s="697" t="s">
        <v>101</v>
      </c>
      <c r="E25" s="694"/>
      <c r="F25" s="692"/>
      <c r="G25" s="692"/>
      <c r="H25" s="692"/>
      <c r="I25" s="692"/>
      <c r="J25" s="692"/>
      <c r="K25" s="691"/>
      <c r="L25" s="688"/>
      <c r="M25" s="809" t="s">
        <v>220</v>
      </c>
      <c r="N25" s="688"/>
      <c r="O25" s="877" t="s">
        <v>211</v>
      </c>
      <c r="P25" s="877" t="s">
        <v>212</v>
      </c>
      <c r="Q25" s="877" t="s">
        <v>211</v>
      </c>
      <c r="R25" s="877" t="s">
        <v>212</v>
      </c>
      <c r="S25" s="688"/>
      <c r="T25" s="688"/>
      <c r="U25" s="812" t="str">
        <f>Tragwerk!A17</f>
        <v>smin gerissener Beton</v>
      </c>
      <c r="V25" s="792">
        <f>Tragwerk!B17</f>
        <v>80</v>
      </c>
      <c r="W25" s="792">
        <f>Tragwerk!C17</f>
        <v>100</v>
      </c>
      <c r="X25" s="792">
        <v>120</v>
      </c>
      <c r="Y25" s="792">
        <f>Tragwerk!D17</f>
        <v>120</v>
      </c>
      <c r="Z25" s="792">
        <f>Tragwerk!D17</f>
        <v>120</v>
      </c>
      <c r="AA25" s="813">
        <f>INDEX($V$24:$X$28,2,MATCH($C$4,$V$23:$X$23))</f>
        <v>120</v>
      </c>
      <c r="AB25" s="792" t="s">
        <v>93</v>
      </c>
      <c r="AC25" s="792">
        <f>AA25</f>
        <v>120</v>
      </c>
      <c r="AD25" s="688"/>
      <c r="AE25" s="688"/>
      <c r="AF25" s="688"/>
      <c r="AG25" s="688"/>
      <c r="AH25" s="688"/>
      <c r="AI25" s="790"/>
      <c r="AJ25" s="790"/>
      <c r="AK25" s="790"/>
      <c r="AL25" s="790"/>
      <c r="AM25" s="790"/>
      <c r="AN25" s="790"/>
      <c r="AO25" s="790"/>
      <c r="AP25" s="790"/>
      <c r="AQ25" s="790"/>
      <c r="AR25" s="674"/>
      <c r="AS25" s="674"/>
      <c r="AT25" s="674"/>
      <c r="AU25" s="674"/>
      <c r="AV25" s="674"/>
      <c r="AW25" s="674"/>
      <c r="AX25" s="674"/>
      <c r="AY25" s="674"/>
      <c r="AZ25" s="674"/>
      <c r="BA25" s="674"/>
      <c r="BB25" s="674"/>
      <c r="BC25" s="637"/>
      <c r="BD25" s="637"/>
      <c r="BE25" s="637"/>
      <c r="BF25" s="637"/>
      <c r="BG25" s="637"/>
      <c r="BH25" s="637"/>
      <c r="BI25" s="637"/>
      <c r="BJ25" s="637"/>
      <c r="BK25" s="637"/>
      <c r="BL25" s="637"/>
      <c r="BM25" s="637"/>
      <c r="BN25" s="637"/>
      <c r="BO25" s="637"/>
      <c r="BP25" s="637"/>
    </row>
    <row r="26" spans="1:68" s="245" customFormat="1" ht="14.4" customHeight="1">
      <c r="A26" s="505"/>
      <c r="B26" s="873" t="s">
        <v>285</v>
      </c>
      <c r="C26" s="216">
        <v>90.6</v>
      </c>
      <c r="D26" s="709" t="s">
        <v>98</v>
      </c>
      <c r="E26" s="694"/>
      <c r="F26" s="713" t="s">
        <v>552</v>
      </c>
      <c r="G26" s="994" t="str">
        <f>T79</f>
        <v>projektspez. HCC-Art.-Set: HIT-C-R M24x243</v>
      </c>
      <c r="H26" s="994"/>
      <c r="I26" s="994"/>
      <c r="J26" s="994"/>
      <c r="K26" s="995"/>
      <c r="L26" s="688"/>
      <c r="M26" s="688" t="s">
        <v>222</v>
      </c>
      <c r="N26" s="810" t="s">
        <v>1184</v>
      </c>
      <c r="O26" s="876">
        <f>IF(G5="Zweireihige Ankeranordnung",(C25*1000/(S16+S15^2/S16))-N16,(C25*1000/(C7-C9))-N15)*J32/1000</f>
        <v>4.7057430951337125</v>
      </c>
      <c r="P26" s="876">
        <f>IF(G5="Zweireihige Ankeranordnung",(C25*1000/(S15+S16^2/S15))-N16,0)*J32/1000</f>
        <v>3.6775975449364311</v>
      </c>
      <c r="Q26" s="876">
        <f>IF(G5="Zweireihige Ankeranordnung",(C25*1000/(S16+S15^2/S16))-N16,(C25*1000/(C7-C9))-N15)*J32/1000</f>
        <v>4.7057430951337125</v>
      </c>
      <c r="R26" s="876">
        <f>IF(G5="Zweireihige Ankeranordnung",(C25*1000/(S15+S16^2/S15))-N16,0)*J32/1000</f>
        <v>3.6775975449364311</v>
      </c>
      <c r="S26" s="688"/>
      <c r="T26" s="688"/>
      <c r="U26" s="812"/>
      <c r="V26" s="792"/>
      <c r="W26" s="792"/>
      <c r="X26" s="792"/>
      <c r="Y26" s="792"/>
      <c r="Z26" s="792"/>
      <c r="AA26" s="813"/>
      <c r="AB26" s="792" t="s">
        <v>94</v>
      </c>
      <c r="AC26" s="792">
        <f>AA28</f>
        <v>196</v>
      </c>
      <c r="AD26" s="688"/>
      <c r="AE26" s="688"/>
      <c r="AF26" s="688"/>
      <c r="AG26" s="688"/>
      <c r="AH26" s="688"/>
      <c r="AI26" s="790"/>
      <c r="AJ26" s="790"/>
      <c r="AK26" s="790"/>
      <c r="AL26" s="790"/>
      <c r="AM26" s="790"/>
      <c r="AN26" s="790"/>
      <c r="AO26" s="790"/>
      <c r="AP26" s="790"/>
      <c r="AQ26" s="790"/>
      <c r="AR26" s="674"/>
      <c r="AS26" s="674"/>
      <c r="AT26" s="674"/>
      <c r="AU26" s="674"/>
      <c r="AV26" s="674"/>
      <c r="AW26" s="674"/>
      <c r="AX26" s="674"/>
      <c r="AY26" s="674"/>
      <c r="AZ26" s="674"/>
      <c r="BA26" s="674"/>
      <c r="BB26" s="674"/>
      <c r="BC26" s="637"/>
      <c r="BD26" s="637"/>
      <c r="BE26" s="637"/>
      <c r="BF26" s="637"/>
      <c r="BG26" s="637"/>
      <c r="BH26" s="637"/>
      <c r="BI26" s="637"/>
      <c r="BJ26" s="637"/>
      <c r="BK26" s="637"/>
      <c r="BL26" s="637"/>
      <c r="BM26" s="637"/>
      <c r="BN26" s="637"/>
      <c r="BO26" s="637"/>
      <c r="BP26" s="637"/>
    </row>
    <row r="27" spans="1:68" s="245" customFormat="1" ht="1.75" hidden="1" customHeight="1">
      <c r="A27" s="505"/>
      <c r="B27" s="509"/>
      <c r="C27" s="510"/>
      <c r="D27" s="508"/>
      <c r="E27" s="511"/>
      <c r="F27" s="395"/>
      <c r="G27" s="395"/>
      <c r="H27" s="395"/>
      <c r="I27" s="395"/>
      <c r="J27" s="395"/>
      <c r="K27" s="507"/>
      <c r="L27" s="688"/>
      <c r="M27" s="688" t="s">
        <v>215</v>
      </c>
      <c r="N27" s="810" t="s">
        <v>1185</v>
      </c>
      <c r="O27" s="876">
        <f>(IF(G5="Einreihige Ankeranordnung",SQRT((POWER(((C26-O17)/1000*J32)+C30,2))+(POWER(C29,2))),SQRT((POWER((((C26-O17)/2)/1000*J32)+(C30/2),2))+(POWER((C29/2),2)))))</f>
        <v>29.921271248249965</v>
      </c>
      <c r="P27" s="876">
        <f>(IF(G5="Einreihige Ankeranordnung",0,SQRT((POWER((((C26-O17)/2)/1000*J32)+(C30/2),2))+(POWER((C29/2),2)))))</f>
        <v>29.921271248249965</v>
      </c>
      <c r="Q27" s="876">
        <f>(IF(G5="Einreihige Ankeranordnung",SQRT((POWER(C30,2))+(POWER(C29,2))),SQRT((POWER((C30/2),2))+(POWER((C29/2),2)))))</f>
        <v>8.4852813742385695</v>
      </c>
      <c r="R27" s="876">
        <f>(IF(G5="Einreihige Ankeranordnung",0,SQRT((POWER((C30/2),2))+(POWER((C29/2),2)))))</f>
        <v>8.4852813742385695</v>
      </c>
      <c r="S27" s="688"/>
      <c r="T27" s="688"/>
      <c r="U27" s="812"/>
      <c r="V27" s="792"/>
      <c r="W27" s="792"/>
      <c r="X27" s="792"/>
      <c r="Y27" s="792"/>
      <c r="Z27" s="792"/>
      <c r="AA27" s="813"/>
      <c r="AB27" s="792"/>
      <c r="AC27" s="792"/>
      <c r="AD27" s="688"/>
      <c r="AE27" s="688"/>
      <c r="AF27" s="688"/>
      <c r="AG27" s="688"/>
      <c r="AH27" s="688"/>
      <c r="AI27" s="790"/>
      <c r="AJ27" s="790"/>
      <c r="AK27" s="790"/>
      <c r="AL27" s="790"/>
      <c r="AM27" s="790"/>
      <c r="AN27" s="790"/>
      <c r="AO27" s="790"/>
      <c r="AP27" s="790"/>
      <c r="AQ27" s="790"/>
      <c r="AR27" s="674"/>
      <c r="AS27" s="674"/>
      <c r="AT27" s="674"/>
      <c r="AU27" s="674"/>
      <c r="AV27" s="674"/>
      <c r="AW27" s="674"/>
      <c r="AX27" s="674"/>
      <c r="AY27" s="674"/>
      <c r="AZ27" s="674"/>
      <c r="BA27" s="674"/>
      <c r="BB27" s="674"/>
      <c r="BC27" s="637"/>
      <c r="BD27" s="637"/>
      <c r="BE27" s="637"/>
      <c r="BF27" s="637"/>
      <c r="BG27" s="637"/>
      <c r="BH27" s="637"/>
      <c r="BI27" s="637"/>
      <c r="BJ27" s="637"/>
      <c r="BK27" s="637"/>
      <c r="BL27" s="637"/>
      <c r="BM27" s="637"/>
      <c r="BN27" s="637"/>
      <c r="BO27" s="637"/>
      <c r="BP27" s="637"/>
    </row>
    <row r="28" spans="1:68" s="245" customFormat="1" ht="14.25" customHeight="1">
      <c r="A28" s="505"/>
      <c r="B28" s="991" t="s">
        <v>177</v>
      </c>
      <c r="C28" s="992"/>
      <c r="D28" s="992"/>
      <c r="E28" s="993"/>
      <c r="F28" s="957" t="s">
        <v>545</v>
      </c>
      <c r="G28" s="958"/>
      <c r="H28" s="958"/>
      <c r="I28" s="959"/>
      <c r="J28" s="214">
        <v>500</v>
      </c>
      <c r="K28" s="714" t="s">
        <v>0</v>
      </c>
      <c r="L28" s="688"/>
      <c r="M28" s="688" t="s">
        <v>216</v>
      </c>
      <c r="N28" s="810" t="s">
        <v>1186</v>
      </c>
      <c r="O28" s="876">
        <f>SQRT((POWER(((C26-O17)/1000*J32)+C30,2))+(POWER(C30,2)))</f>
        <v>59.842542496499931</v>
      </c>
      <c r="P28" s="876">
        <f>(IF(G5="Einreihige Ankeranordnung",0,SQRT((POWER((((C26-O17)/2)/1000*J32)+(C30/2),2))+(POWER(C30/2,2)))))</f>
        <v>29.921271248249965</v>
      </c>
      <c r="Q28" s="876">
        <f>SQRT((POWER(C30,2))+(POWER(C30,2)))</f>
        <v>16.970562748477139</v>
      </c>
      <c r="R28" s="876">
        <f>(IF(G5="Einreihige Ankeranordnung",0,SQRT((POWER((C30/2),2)+(POWER(C30/2,2))))))</f>
        <v>8.4852813742385695</v>
      </c>
      <c r="S28" s="688"/>
      <c r="T28" s="688"/>
      <c r="U28" s="812" t="str">
        <f>Tragwerk!A20</f>
        <v>hT,ef + 2 do</v>
      </c>
      <c r="V28" s="792">
        <f>Tragwerk!B20</f>
        <v>176</v>
      </c>
      <c r="W28" s="792">
        <f>Tragwerk!C20</f>
        <v>184</v>
      </c>
      <c r="X28" s="792">
        <f>Tragwerk!D20</f>
        <v>196</v>
      </c>
      <c r="Y28" s="792">
        <v>176</v>
      </c>
      <c r="Z28" s="792">
        <v>176</v>
      </c>
      <c r="AA28" s="813">
        <f>INDEX($V$24:$X$28,5,MATCH($C$4,$V$23:$X$23))</f>
        <v>196</v>
      </c>
      <c r="AB28" s="792" t="s">
        <v>562</v>
      </c>
      <c r="AC28" s="792">
        <f>IF(AND(C4="Kappenanker HCC M16",(C8-C10)&lt;36),1,0)</f>
        <v>0</v>
      </c>
      <c r="AD28" s="792">
        <f>IF(AND(C4="Kappenanker HCC M16",(C8-V79)&lt;36),1,0)</f>
        <v>0</v>
      </c>
      <c r="AE28" s="688"/>
      <c r="AF28" s="688"/>
      <c r="AG28" s="688"/>
      <c r="AH28" s="688"/>
      <c r="AI28" s="790"/>
      <c r="AJ28" s="790"/>
      <c r="AK28" s="790"/>
      <c r="AL28" s="790"/>
      <c r="AM28" s="790"/>
      <c r="AN28" s="790"/>
      <c r="AO28" s="790"/>
      <c r="AP28" s="790"/>
      <c r="AQ28" s="790"/>
      <c r="AR28" s="674"/>
      <c r="AS28" s="674"/>
      <c r="AT28" s="674"/>
      <c r="AU28" s="674"/>
      <c r="AV28" s="674"/>
      <c r="AW28" s="674"/>
      <c r="AX28" s="674"/>
      <c r="AY28" s="674"/>
      <c r="AZ28" s="674"/>
      <c r="BA28" s="674"/>
      <c r="BB28" s="674"/>
      <c r="BC28" s="637"/>
      <c r="BD28" s="637"/>
      <c r="BE28" s="637"/>
      <c r="BF28" s="637"/>
      <c r="BG28" s="637"/>
      <c r="BH28" s="637"/>
      <c r="BI28" s="637"/>
      <c r="BJ28" s="637"/>
      <c r="BK28" s="637"/>
      <c r="BL28" s="637"/>
      <c r="BM28" s="637"/>
      <c r="BN28" s="637"/>
      <c r="BO28" s="637"/>
      <c r="BP28" s="637"/>
    </row>
    <row r="29" spans="1:68" s="245" customFormat="1" ht="14.25" customHeight="1">
      <c r="A29" s="505"/>
      <c r="B29" s="715" t="s">
        <v>284</v>
      </c>
      <c r="C29" s="721">
        <f>Q68</f>
        <v>12</v>
      </c>
      <c r="D29" s="719" t="s">
        <v>287</v>
      </c>
      <c r="E29" s="693"/>
      <c r="F29" s="985" t="str">
        <f>IF(Q48=0,"Verankerung Mittelbereich zulässig","Verankerung Mittelbereich nicht zulässig")</f>
        <v>Verankerung Mittelbereich zulässig</v>
      </c>
      <c r="G29" s="986"/>
      <c r="H29" s="986"/>
      <c r="I29" s="986"/>
      <c r="J29" s="986"/>
      <c r="K29" s="987"/>
      <c r="L29" s="688"/>
      <c r="M29" s="688" t="s">
        <v>217</v>
      </c>
      <c r="N29" s="810" t="s">
        <v>1185</v>
      </c>
      <c r="O29" s="876">
        <f>(IF(G5="Einreihige Ankeranordnung",SQRT((POWER(((C26-O17)/1000*J32)+C30,2))+(POWER(C30,2))),SQRT((POWER((((C26-O17)/2)/1000*J32)+(C30/2),2))+(POWER(C30/2,2)))))</f>
        <v>29.921271248249965</v>
      </c>
      <c r="P29" s="876">
        <f>(IF(G5="Einreihige Ankeranordnung",0,SQRT((POWER((((C26-O17))/1000*J32)+(C30),2))+(POWER(C30,2)))))</f>
        <v>59.842542496499931</v>
      </c>
      <c r="Q29" s="876">
        <f>(IF(G5="Einreihige Ankeranordnung",SQRT((POWER(C30,2))+(POWER(C30,2))),SQRT((POWER((C30/2),2)+(POWER(C30/2,2))))))</f>
        <v>8.4852813742385695</v>
      </c>
      <c r="R29" s="876">
        <f>(IF(G5="Einreihige Ankeranordnung",0,SQRT((POWER(C30,2))+(POWER(C30,2)))))</f>
        <v>16.970562748477139</v>
      </c>
      <c r="S29" s="688"/>
      <c r="T29" s="688"/>
      <c r="U29" s="812" t="s">
        <v>558</v>
      </c>
      <c r="V29" s="792">
        <v>36</v>
      </c>
      <c r="W29" s="792">
        <v>44</v>
      </c>
      <c r="X29" s="792">
        <v>56</v>
      </c>
      <c r="Y29" s="792">
        <v>0</v>
      </c>
      <c r="Z29" s="792">
        <v>0</v>
      </c>
      <c r="AA29" s="813">
        <f>INDEX($V$24:$X$29,6,MATCH($C$4,$V$23:$X$23))</f>
        <v>56</v>
      </c>
      <c r="AB29" s="792"/>
      <c r="AC29" s="792">
        <f>IF(AND(C4="Kappenanker HCC M20",(C8-C10)&lt;44),1,0)</f>
        <v>0</v>
      </c>
      <c r="AD29" s="792">
        <f>IF(AND(C4="Kappenanker HCC M20",(C8-V79)&lt;44),1,0)</f>
        <v>0</v>
      </c>
      <c r="AE29" s="688"/>
      <c r="AF29" s="688"/>
      <c r="AG29" s="688"/>
      <c r="AH29" s="688"/>
      <c r="AI29" s="790"/>
      <c r="AJ29" s="790"/>
      <c r="AK29" s="790"/>
      <c r="AL29" s="790"/>
      <c r="AM29" s="790"/>
      <c r="AN29" s="790"/>
      <c r="AO29" s="790"/>
      <c r="AP29" s="790"/>
      <c r="AQ29" s="790"/>
      <c r="AR29" s="674"/>
      <c r="AS29" s="674"/>
      <c r="AT29" s="674"/>
      <c r="AU29" s="674"/>
      <c r="AV29" s="674"/>
      <c r="AW29" s="674"/>
      <c r="AX29" s="674"/>
      <c r="AY29" s="674"/>
      <c r="AZ29" s="674"/>
      <c r="BA29" s="674"/>
      <c r="BB29" s="674"/>
      <c r="BC29" s="637"/>
      <c r="BD29" s="637"/>
      <c r="BE29" s="637"/>
      <c r="BF29" s="637"/>
      <c r="BG29" s="637"/>
      <c r="BH29" s="637"/>
      <c r="BI29" s="637"/>
      <c r="BJ29" s="637"/>
      <c r="BK29" s="637"/>
      <c r="BL29" s="637"/>
      <c r="BM29" s="637"/>
      <c r="BN29" s="637"/>
      <c r="BO29" s="637"/>
      <c r="BP29" s="637"/>
    </row>
    <row r="30" spans="1:68" s="245" customFormat="1" ht="14.25" customHeight="1">
      <c r="A30" s="505"/>
      <c r="B30" s="875" t="s">
        <v>283</v>
      </c>
      <c r="C30" s="722">
        <f>Q68</f>
        <v>12</v>
      </c>
      <c r="D30" s="720" t="s">
        <v>287</v>
      </c>
      <c r="E30" s="718"/>
      <c r="F30" s="965"/>
      <c r="G30" s="965"/>
      <c r="H30" s="965"/>
      <c r="I30" s="965"/>
      <c r="J30" s="965"/>
      <c r="K30" s="966"/>
      <c r="L30" s="688"/>
      <c r="M30" s="688"/>
      <c r="N30" s="688"/>
      <c r="O30" s="688"/>
      <c r="P30" s="688"/>
      <c r="Q30" s="688"/>
      <c r="R30" s="688"/>
      <c r="S30" s="688"/>
      <c r="T30" s="688"/>
      <c r="U30" s="789"/>
      <c r="V30" s="811"/>
      <c r="W30" s="792"/>
      <c r="X30" s="688"/>
      <c r="Y30" s="688"/>
      <c r="Z30" s="688"/>
      <c r="AA30" s="688"/>
      <c r="AB30" s="792"/>
      <c r="AC30" s="792">
        <f>IF(AND(C4="Kappenanker HCC M24",(C8-C10)&lt;56),1,0)</f>
        <v>0</v>
      </c>
      <c r="AD30" s="792">
        <f>IF(AND(C4="Kappenanker HCC M24",(C8-V79)&lt;56),1,0)</f>
        <v>1</v>
      </c>
      <c r="AE30" s="688"/>
      <c r="AF30" s="688"/>
      <c r="AG30" s="688"/>
      <c r="AH30" s="688"/>
      <c r="AI30" s="790"/>
      <c r="AJ30" s="790"/>
      <c r="AK30" s="790"/>
      <c r="AL30" s="790"/>
      <c r="AM30" s="790"/>
      <c r="AN30" s="790"/>
      <c r="AO30" s="790"/>
      <c r="AP30" s="790"/>
      <c r="AQ30" s="790"/>
      <c r="AR30" s="674"/>
      <c r="AS30" s="674"/>
      <c r="AT30" s="674"/>
      <c r="AU30" s="674"/>
      <c r="AV30" s="674"/>
      <c r="AW30" s="674"/>
      <c r="AX30" s="674"/>
      <c r="AY30" s="674"/>
      <c r="AZ30" s="674"/>
      <c r="BA30" s="674"/>
      <c r="BB30" s="674"/>
      <c r="BC30" s="637"/>
      <c r="BD30" s="637"/>
      <c r="BE30" s="637"/>
      <c r="BF30" s="637"/>
      <c r="BG30" s="637"/>
      <c r="BH30" s="637"/>
      <c r="BI30" s="637"/>
      <c r="BJ30" s="637"/>
      <c r="BK30" s="637"/>
      <c r="BL30" s="637"/>
      <c r="BM30" s="637"/>
      <c r="BN30" s="637"/>
      <c r="BO30" s="637"/>
      <c r="BP30" s="637"/>
    </row>
    <row r="31" spans="1:68" s="245" customFormat="1" ht="10.4" hidden="1" customHeight="1">
      <c r="A31" s="505"/>
      <c r="B31" s="988"/>
      <c r="C31" s="989"/>
      <c r="D31" s="989"/>
      <c r="E31" s="990"/>
      <c r="F31" s="967"/>
      <c r="G31" s="967"/>
      <c r="H31" s="967"/>
      <c r="I31" s="967"/>
      <c r="J31" s="967"/>
      <c r="K31" s="968"/>
      <c r="L31" s="688"/>
      <c r="M31" s="688"/>
      <c r="N31" s="688"/>
      <c r="O31" s="688"/>
      <c r="P31" s="688"/>
      <c r="Q31" s="688"/>
      <c r="R31" s="688"/>
      <c r="S31" s="688"/>
      <c r="T31" s="688"/>
      <c r="U31" s="811"/>
      <c r="V31" s="811"/>
      <c r="W31" s="792"/>
      <c r="X31" s="688"/>
      <c r="Y31" s="688"/>
      <c r="Z31" s="688"/>
      <c r="AA31" s="688"/>
      <c r="AB31" s="792"/>
      <c r="AC31" s="792"/>
      <c r="AD31" s="688"/>
      <c r="AE31" s="688"/>
      <c r="AF31" s="688"/>
      <c r="AG31" s="688"/>
      <c r="AH31" s="688"/>
      <c r="AI31" s="790"/>
      <c r="AJ31" s="790"/>
      <c r="AK31" s="790"/>
      <c r="AL31" s="790"/>
      <c r="AM31" s="790"/>
      <c r="AN31" s="790"/>
      <c r="AO31" s="790"/>
      <c r="AP31" s="790"/>
      <c r="AQ31" s="790"/>
      <c r="AR31" s="674"/>
      <c r="AS31" s="674"/>
      <c r="AT31" s="674"/>
      <c r="AU31" s="674"/>
      <c r="AV31" s="674"/>
      <c r="AW31" s="674"/>
      <c r="AX31" s="674"/>
      <c r="AY31" s="674"/>
      <c r="AZ31" s="674"/>
      <c r="BA31" s="674"/>
      <c r="BB31" s="674"/>
      <c r="BC31" s="637"/>
      <c r="BD31" s="637"/>
      <c r="BE31" s="637"/>
      <c r="BF31" s="637"/>
      <c r="BG31" s="637"/>
      <c r="BH31" s="637"/>
      <c r="BI31" s="637"/>
      <c r="BJ31" s="637"/>
      <c r="BK31" s="637"/>
      <c r="BL31" s="637"/>
      <c r="BM31" s="637"/>
      <c r="BN31" s="637"/>
      <c r="BO31" s="637"/>
      <c r="BP31" s="637"/>
    </row>
    <row r="32" spans="1:68" s="245" customFormat="1" ht="14.25" customHeight="1">
      <c r="A32" s="505"/>
      <c r="B32" s="991" t="s">
        <v>218</v>
      </c>
      <c r="C32" s="992"/>
      <c r="D32" s="992"/>
      <c r="E32" s="993"/>
      <c r="F32" s="957" t="s">
        <v>544</v>
      </c>
      <c r="G32" s="958"/>
      <c r="H32" s="958"/>
      <c r="I32" s="959"/>
      <c r="J32" s="214">
        <v>550</v>
      </c>
      <c r="K32" s="714" t="s">
        <v>0</v>
      </c>
      <c r="L32" s="688"/>
      <c r="M32" s="688"/>
      <c r="N32" s="688"/>
      <c r="O32" s="688"/>
      <c r="P32" s="688"/>
      <c r="Q32" s="688"/>
      <c r="R32" s="688"/>
      <c r="S32" s="688"/>
      <c r="T32" s="688"/>
      <c r="U32" s="789"/>
      <c r="V32" s="811"/>
      <c r="W32" s="792"/>
      <c r="X32" s="792"/>
      <c r="Y32" s="792" t="s">
        <v>1161</v>
      </c>
      <c r="Z32" s="688"/>
      <c r="AA32" s="688"/>
      <c r="AB32" s="792" t="s">
        <v>563</v>
      </c>
      <c r="AC32" s="792">
        <f>SUM(AC28:AC31)</f>
        <v>0</v>
      </c>
      <c r="AD32" s="796">
        <f>SUM(AD28:AD30)</f>
        <v>1</v>
      </c>
      <c r="AE32" s="688"/>
      <c r="AF32" s="688"/>
      <c r="AG32" s="688"/>
      <c r="AH32" s="688"/>
      <c r="AI32" s="790"/>
      <c r="AJ32" s="790"/>
      <c r="AK32" s="790"/>
      <c r="AL32" s="790"/>
      <c r="AM32" s="790"/>
      <c r="AN32" s="790"/>
      <c r="AO32" s="790"/>
      <c r="AP32" s="790"/>
      <c r="AQ32" s="790"/>
      <c r="AR32" s="674"/>
      <c r="AS32" s="674"/>
      <c r="AT32" s="674"/>
      <c r="AU32" s="674"/>
      <c r="AV32" s="674"/>
      <c r="AW32" s="674"/>
      <c r="AX32" s="674"/>
      <c r="AY32" s="674"/>
      <c r="AZ32" s="674"/>
      <c r="BA32" s="674"/>
      <c r="BB32" s="674"/>
      <c r="BC32" s="637"/>
      <c r="BD32" s="637"/>
      <c r="BE32" s="637"/>
      <c r="BF32" s="637"/>
      <c r="BG32" s="637"/>
      <c r="BH32" s="637"/>
      <c r="BI32" s="637"/>
      <c r="BJ32" s="637"/>
      <c r="BK32" s="637"/>
      <c r="BL32" s="637"/>
      <c r="BM32" s="637"/>
      <c r="BN32" s="637"/>
      <c r="BO32" s="637"/>
      <c r="BP32" s="637"/>
    </row>
    <row r="33" spans="1:68" s="245" customFormat="1" ht="14.25" customHeight="1" thickBot="1">
      <c r="A33" s="505"/>
      <c r="B33" s="700" t="s">
        <v>579</v>
      </c>
      <c r="C33" s="972" t="s">
        <v>480</v>
      </c>
      <c r="D33" s="973"/>
      <c r="E33" s="974"/>
      <c r="F33" s="985" t="str">
        <f>IF(Q56=0,"Verankerung Randbereich zulässig","Verankerung Randbereich nicht zulässig")</f>
        <v>Verankerung Randbereich zulässig</v>
      </c>
      <c r="G33" s="986"/>
      <c r="H33" s="986"/>
      <c r="I33" s="986"/>
      <c r="J33" s="986"/>
      <c r="K33" s="987"/>
      <c r="L33" s="688"/>
      <c r="M33" s="688"/>
      <c r="N33" s="688"/>
      <c r="O33" s="688"/>
      <c r="P33" s="688"/>
      <c r="Q33" s="814" t="s">
        <v>39</v>
      </c>
      <c r="R33" s="813" t="s">
        <v>1187</v>
      </c>
      <c r="S33" s="813" t="s">
        <v>1162</v>
      </c>
      <c r="T33" s="813" t="s">
        <v>1163</v>
      </c>
      <c r="U33" s="813" t="s">
        <v>1164</v>
      </c>
      <c r="V33" s="877" t="s">
        <v>1165</v>
      </c>
      <c r="W33" s="809" t="s">
        <v>250</v>
      </c>
      <c r="X33" s="688"/>
      <c r="Y33" s="688"/>
      <c r="Z33" s="688"/>
      <c r="AA33" s="688"/>
      <c r="AB33" s="792"/>
      <c r="AC33" s="792"/>
      <c r="AD33" s="688"/>
      <c r="AE33" s="688"/>
      <c r="AF33" s="688"/>
      <c r="AG33" s="688"/>
      <c r="AH33" s="688"/>
      <c r="AI33" s="790"/>
      <c r="AJ33" s="790"/>
      <c r="AK33" s="790"/>
      <c r="AL33" s="790"/>
      <c r="AM33" s="790"/>
      <c r="AN33" s="790"/>
      <c r="AO33" s="790"/>
      <c r="AP33" s="790"/>
      <c r="AQ33" s="790"/>
      <c r="AR33" s="674"/>
      <c r="AS33" s="674"/>
      <c r="AT33" s="674"/>
      <c r="AU33" s="674"/>
      <c r="AV33" s="674"/>
      <c r="AW33" s="674"/>
      <c r="AX33" s="674"/>
      <c r="AY33" s="674"/>
      <c r="AZ33" s="674"/>
      <c r="BA33" s="674"/>
      <c r="BB33" s="674"/>
      <c r="BC33" s="637"/>
      <c r="BD33" s="637"/>
      <c r="BE33" s="637"/>
      <c r="BF33" s="637"/>
      <c r="BG33" s="637"/>
      <c r="BH33" s="637"/>
      <c r="BI33" s="637"/>
      <c r="BJ33" s="637"/>
      <c r="BK33" s="637"/>
      <c r="BL33" s="637"/>
      <c r="BM33" s="637"/>
      <c r="BN33" s="637"/>
      <c r="BO33" s="637"/>
      <c r="BP33" s="637"/>
    </row>
    <row r="34" spans="1:68" s="245" customFormat="1" ht="16" hidden="1" customHeight="1">
      <c r="A34" s="505"/>
      <c r="B34" s="396"/>
      <c r="C34" s="671"/>
      <c r="D34" s="671"/>
      <c r="E34" s="671"/>
      <c r="F34" s="397"/>
      <c r="G34" s="671"/>
      <c r="H34" s="671"/>
      <c r="I34" s="671"/>
      <c r="J34" s="671"/>
      <c r="K34" s="672"/>
      <c r="L34" s="688"/>
      <c r="M34" s="688"/>
      <c r="N34" s="688"/>
      <c r="O34" s="688"/>
      <c r="P34" s="688"/>
      <c r="Q34" s="688"/>
      <c r="R34" s="688"/>
      <c r="S34" s="688"/>
      <c r="T34" s="688"/>
      <c r="U34" s="688"/>
      <c r="V34" s="792"/>
      <c r="W34" s="792"/>
      <c r="X34" s="688"/>
      <c r="Y34" s="688"/>
      <c r="Z34" s="688"/>
      <c r="AA34" s="688"/>
      <c r="AB34" s="792"/>
      <c r="AC34" s="792"/>
      <c r="AD34" s="688"/>
      <c r="AE34" s="688"/>
      <c r="AF34" s="688"/>
      <c r="AG34" s="688"/>
      <c r="AH34" s="688"/>
      <c r="AI34" s="790"/>
      <c r="AJ34" s="790"/>
      <c r="AK34" s="790"/>
      <c r="AL34" s="790"/>
      <c r="AM34" s="790"/>
      <c r="AN34" s="790"/>
      <c r="AO34" s="790"/>
      <c r="AP34" s="790"/>
      <c r="AQ34" s="790"/>
      <c r="AR34" s="674"/>
      <c r="AS34" s="674"/>
      <c r="AT34" s="674"/>
      <c r="AU34" s="674"/>
      <c r="AV34" s="674"/>
      <c r="AW34" s="674"/>
      <c r="AX34" s="674"/>
      <c r="AY34" s="674"/>
      <c r="AZ34" s="674"/>
      <c r="BA34" s="674"/>
      <c r="BB34" s="674"/>
      <c r="BC34" s="637"/>
      <c r="BD34" s="637"/>
      <c r="BE34" s="637"/>
      <c r="BF34" s="637"/>
      <c r="BG34" s="637"/>
      <c r="BH34" s="637"/>
      <c r="BI34" s="637"/>
      <c r="BJ34" s="637"/>
      <c r="BK34" s="637"/>
      <c r="BL34" s="637"/>
      <c r="BM34" s="637"/>
      <c r="BN34" s="637"/>
      <c r="BO34" s="637"/>
      <c r="BP34" s="637"/>
    </row>
    <row r="35" spans="1:68" s="245" customFormat="1" ht="14.4" hidden="1" customHeight="1">
      <c r="A35" s="505"/>
      <c r="B35" s="398"/>
      <c r="C35" s="387"/>
      <c r="D35" s="388"/>
      <c r="E35" s="389"/>
      <c r="F35" s="399"/>
      <c r="G35" s="399"/>
      <c r="H35" s="399"/>
      <c r="I35" s="399"/>
      <c r="J35" s="399"/>
      <c r="K35" s="400"/>
      <c r="L35" s="688"/>
      <c r="M35" s="688"/>
      <c r="N35" s="688"/>
      <c r="O35" s="688"/>
      <c r="P35" s="688"/>
      <c r="Q35" s="688"/>
      <c r="R35" s="688"/>
      <c r="S35" s="688"/>
      <c r="T35" s="688"/>
      <c r="U35" s="688"/>
      <c r="V35" s="688"/>
      <c r="W35" s="688"/>
      <c r="X35" s="688"/>
      <c r="Y35" s="688"/>
      <c r="Z35" s="688"/>
      <c r="AA35" s="688"/>
      <c r="AB35" s="792"/>
      <c r="AC35" s="792"/>
      <c r="AD35" s="688"/>
      <c r="AE35" s="688"/>
      <c r="AF35" s="688"/>
      <c r="AG35" s="688"/>
      <c r="AH35" s="688"/>
      <c r="AI35" s="790"/>
      <c r="AJ35" s="790"/>
      <c r="AK35" s="790"/>
      <c r="AL35" s="790"/>
      <c r="AM35" s="790"/>
      <c r="AN35" s="790"/>
      <c r="AO35" s="790"/>
      <c r="AP35" s="790"/>
      <c r="AQ35" s="790"/>
      <c r="AR35" s="674"/>
      <c r="AS35" s="674"/>
      <c r="AT35" s="674"/>
      <c r="AU35" s="674"/>
      <c r="AV35" s="674"/>
      <c r="AW35" s="674"/>
      <c r="AX35" s="674"/>
      <c r="AY35" s="674"/>
      <c r="AZ35" s="674"/>
      <c r="BA35" s="674"/>
      <c r="BB35" s="674"/>
      <c r="BC35" s="637"/>
      <c r="BD35" s="637"/>
      <c r="BE35" s="637"/>
      <c r="BF35" s="637"/>
      <c r="BG35" s="637"/>
      <c r="BH35" s="637"/>
      <c r="BI35" s="637"/>
      <c r="BJ35" s="637"/>
      <c r="BK35" s="637"/>
      <c r="BL35" s="637"/>
      <c r="BM35" s="637"/>
      <c r="BN35" s="637"/>
      <c r="BO35" s="637"/>
      <c r="BP35" s="637"/>
    </row>
    <row r="36" spans="1:68" s="245" customFormat="1" ht="16.7" hidden="1" customHeight="1" thickBot="1">
      <c r="A36" s="505"/>
      <c r="B36" s="512"/>
      <c r="C36" s="513"/>
      <c r="D36" s="513"/>
      <c r="E36" s="514"/>
      <c r="F36" s="515"/>
      <c r="G36" s="515"/>
      <c r="H36" s="516"/>
      <c r="I36" s="516"/>
      <c r="J36" s="516"/>
      <c r="K36" s="517"/>
      <c r="L36" s="688"/>
      <c r="M36" s="688"/>
      <c r="N36" s="688"/>
      <c r="O36" s="688"/>
      <c r="P36" s="688"/>
      <c r="Q36" s="688"/>
      <c r="R36" s="688"/>
      <c r="S36" s="688"/>
      <c r="T36" s="688"/>
      <c r="U36" s="688"/>
      <c r="V36" s="688"/>
      <c r="W36" s="688"/>
      <c r="X36" s="688"/>
      <c r="Y36" s="688"/>
      <c r="Z36" s="688"/>
      <c r="AA36" s="688"/>
      <c r="AB36" s="792"/>
      <c r="AC36" s="792"/>
      <c r="AD36" s="688"/>
      <c r="AE36" s="688"/>
      <c r="AF36" s="688"/>
      <c r="AG36" s="688"/>
      <c r="AH36" s="688"/>
      <c r="AI36" s="790"/>
      <c r="AJ36" s="790"/>
      <c r="AK36" s="790"/>
      <c r="AL36" s="790"/>
      <c r="AM36" s="790"/>
      <c r="AN36" s="790"/>
      <c r="AO36" s="790"/>
      <c r="AP36" s="790"/>
      <c r="AQ36" s="790"/>
      <c r="AR36" s="674"/>
      <c r="AS36" s="674"/>
      <c r="AT36" s="674"/>
      <c r="AU36" s="674"/>
      <c r="AV36" s="674"/>
      <c r="AW36" s="674"/>
      <c r="AX36" s="674"/>
      <c r="AY36" s="674"/>
      <c r="AZ36" s="674"/>
      <c r="BA36" s="674"/>
      <c r="BB36" s="674"/>
      <c r="BC36" s="637"/>
      <c r="BD36" s="637"/>
      <c r="BE36" s="637"/>
      <c r="BF36" s="637"/>
      <c r="BG36" s="637"/>
      <c r="BH36" s="637"/>
      <c r="BI36" s="637"/>
      <c r="BJ36" s="637"/>
      <c r="BK36" s="637"/>
      <c r="BL36" s="637"/>
      <c r="BM36" s="637"/>
      <c r="BN36" s="637"/>
      <c r="BO36" s="637"/>
      <c r="BP36" s="637"/>
    </row>
    <row r="37" spans="1:68" s="245" customFormat="1" ht="14.25" customHeight="1" thickBot="1">
      <c r="A37" s="505"/>
      <c r="B37" s="1000" t="s">
        <v>265</v>
      </c>
      <c r="C37" s="1001"/>
      <c r="D37" s="1001"/>
      <c r="E37" s="1001"/>
      <c r="F37" s="1001"/>
      <c r="G37" s="1001"/>
      <c r="H37" s="1001"/>
      <c r="I37" s="1001"/>
      <c r="J37" s="1001"/>
      <c r="K37" s="1002"/>
      <c r="L37" s="688"/>
      <c r="M37" s="688" t="s">
        <v>510</v>
      </c>
      <c r="N37" s="688"/>
      <c r="O37" s="688"/>
      <c r="P37" s="688"/>
      <c r="Q37" s="801" t="s">
        <v>200</v>
      </c>
      <c r="R37" s="792">
        <v>100</v>
      </c>
      <c r="S37" s="811">
        <v>18</v>
      </c>
      <c r="T37" s="815"/>
      <c r="U37" s="792"/>
      <c r="V37" s="816"/>
      <c r="W37" s="796">
        <f>VLOOKUP(C4,Q37:U42,3)</f>
        <v>28</v>
      </c>
      <c r="X37" s="811"/>
      <c r="Y37" s="796">
        <f>VLOOKUP(C4,Q37:U42,2)</f>
        <v>100</v>
      </c>
      <c r="Z37" s="789"/>
      <c r="AA37" s="789"/>
      <c r="AB37" s="792"/>
      <c r="AC37" s="792"/>
      <c r="AD37" s="688"/>
      <c r="AE37" s="688"/>
      <c r="AF37" s="688"/>
      <c r="AG37" s="688"/>
      <c r="AH37" s="688"/>
      <c r="AI37" s="790"/>
      <c r="AJ37" s="790"/>
      <c r="AK37" s="790"/>
      <c r="AL37" s="790"/>
      <c r="AM37" s="790"/>
      <c r="AN37" s="790"/>
      <c r="AO37" s="790"/>
      <c r="AP37" s="790"/>
      <c r="AQ37" s="790"/>
      <c r="AR37" s="674"/>
      <c r="AS37" s="674"/>
      <c r="AT37" s="674"/>
      <c r="AU37" s="674"/>
      <c r="AV37" s="674"/>
      <c r="AW37" s="674"/>
      <c r="AX37" s="674"/>
      <c r="AY37" s="674"/>
      <c r="AZ37" s="674"/>
      <c r="BA37" s="674"/>
      <c r="BB37" s="674"/>
      <c r="BC37" s="637"/>
      <c r="BD37" s="637"/>
      <c r="BE37" s="637"/>
      <c r="BF37" s="637"/>
      <c r="BG37" s="637"/>
      <c r="BH37" s="637"/>
      <c r="BI37" s="637"/>
      <c r="BJ37" s="637"/>
      <c r="BK37" s="637"/>
      <c r="BL37" s="637"/>
      <c r="BM37" s="637"/>
      <c r="BN37" s="637"/>
      <c r="BO37" s="637"/>
      <c r="BP37" s="637"/>
    </row>
    <row r="38" spans="1:68" ht="17.850000000000001" customHeight="1" thickBot="1">
      <c r="A38" s="505"/>
      <c r="B38" s="969" t="s">
        <v>273</v>
      </c>
      <c r="C38" s="970"/>
      <c r="D38" s="970"/>
      <c r="E38" s="970"/>
      <c r="F38" s="970"/>
      <c r="G38" s="970"/>
      <c r="H38" s="970"/>
      <c r="I38" s="970"/>
      <c r="J38" s="970"/>
      <c r="K38" s="971"/>
      <c r="L38" s="688"/>
      <c r="M38" s="688" t="s">
        <v>417</v>
      </c>
      <c r="N38" s="688"/>
      <c r="O38" s="688"/>
      <c r="P38" s="688"/>
      <c r="Q38" s="801" t="s">
        <v>201</v>
      </c>
      <c r="R38" s="792">
        <v>100</v>
      </c>
      <c r="S38" s="811">
        <v>22</v>
      </c>
      <c r="T38" s="815"/>
      <c r="U38" s="792"/>
      <c r="V38" s="792"/>
      <c r="W38" s="811"/>
      <c r="X38" s="811" t="s">
        <v>138</v>
      </c>
      <c r="Y38" s="811"/>
      <c r="Z38" s="789"/>
      <c r="AA38" s="789"/>
      <c r="AB38" s="792"/>
      <c r="AC38" s="792"/>
      <c r="AD38" s="688"/>
      <c r="AE38" s="688"/>
      <c r="AF38" s="688"/>
      <c r="AG38" s="688"/>
      <c r="AH38" s="688"/>
      <c r="AI38" s="794"/>
      <c r="AJ38" s="794"/>
      <c r="AK38" s="794"/>
      <c r="AL38" s="794"/>
      <c r="AM38" s="794"/>
      <c r="AN38" s="794"/>
      <c r="AO38" s="794"/>
      <c r="AP38" s="794"/>
      <c r="AQ38" s="794"/>
      <c r="AR38" s="675"/>
      <c r="AS38" s="675"/>
      <c r="AT38" s="675"/>
      <c r="AU38" s="675"/>
      <c r="AV38" s="675"/>
      <c r="AW38" s="675"/>
      <c r="AX38" s="675"/>
      <c r="AY38" s="675"/>
      <c r="AZ38" s="675"/>
      <c r="BA38" s="675"/>
      <c r="BB38" s="675"/>
      <c r="BC38" s="656"/>
      <c r="BD38" s="656"/>
      <c r="BE38" s="656"/>
      <c r="BF38" s="656"/>
      <c r="BG38" s="656"/>
      <c r="BH38" s="656"/>
      <c r="BI38" s="656"/>
      <c r="BJ38" s="656"/>
      <c r="BK38" s="656"/>
      <c r="BL38" s="656"/>
      <c r="BM38" s="656"/>
      <c r="BN38" s="656"/>
      <c r="BO38" s="656"/>
      <c r="BP38" s="656"/>
    </row>
    <row r="39" spans="1:68" ht="14.25" customHeight="1" thickBot="1">
      <c r="A39" s="505"/>
      <c r="B39" s="1008"/>
      <c r="C39" s="1009"/>
      <c r="D39" s="962" t="s">
        <v>263</v>
      </c>
      <c r="E39" s="963"/>
      <c r="F39" s="960" t="s">
        <v>117</v>
      </c>
      <c r="G39" s="961"/>
      <c r="H39" s="962" t="s">
        <v>263</v>
      </c>
      <c r="I39" s="963"/>
      <c r="J39" s="960" t="s">
        <v>117</v>
      </c>
      <c r="K39" s="961"/>
      <c r="L39" s="688"/>
      <c r="M39" s="688" t="s">
        <v>416</v>
      </c>
      <c r="N39" s="817"/>
      <c r="O39" s="688"/>
      <c r="P39" s="688"/>
      <c r="Q39" s="801" t="s">
        <v>202</v>
      </c>
      <c r="R39" s="792">
        <v>100</v>
      </c>
      <c r="S39" s="811">
        <v>28</v>
      </c>
      <c r="T39" s="815"/>
      <c r="U39" s="792"/>
      <c r="V39" s="818"/>
      <c r="W39" s="811"/>
      <c r="X39" s="811">
        <f>MAX(C10+2*W37,C10)</f>
        <v>196</v>
      </c>
      <c r="Y39" s="811"/>
      <c r="Z39" s="819"/>
      <c r="AA39" s="789"/>
      <c r="AB39" s="792"/>
      <c r="AC39" s="792"/>
      <c r="AD39" s="688"/>
      <c r="AE39" s="688"/>
      <c r="AF39" s="688"/>
      <c r="AG39" s="688"/>
      <c r="AH39" s="688"/>
      <c r="AI39" s="794"/>
      <c r="AJ39" s="794"/>
      <c r="AK39" s="794"/>
      <c r="AL39" s="794"/>
      <c r="AM39" s="794"/>
      <c r="AN39" s="794"/>
      <c r="AO39" s="794"/>
      <c r="AP39" s="794"/>
      <c r="AQ39" s="794"/>
      <c r="AR39" s="675"/>
      <c r="AS39" s="675"/>
      <c r="AT39" s="675"/>
      <c r="AU39" s="675"/>
      <c r="AV39" s="675"/>
      <c r="AW39" s="675"/>
      <c r="AX39" s="675"/>
      <c r="AY39" s="675"/>
      <c r="AZ39" s="675"/>
      <c r="BA39" s="675"/>
      <c r="BB39" s="675"/>
      <c r="BC39" s="656"/>
      <c r="BD39" s="656"/>
      <c r="BE39" s="656"/>
      <c r="BF39" s="656"/>
      <c r="BG39" s="656"/>
      <c r="BH39" s="656"/>
      <c r="BI39" s="656"/>
      <c r="BJ39" s="656"/>
      <c r="BK39" s="656"/>
      <c r="BL39" s="656"/>
      <c r="BM39" s="656"/>
      <c r="BN39" s="656"/>
      <c r="BO39" s="656"/>
      <c r="BP39" s="656"/>
    </row>
    <row r="40" spans="1:68" ht="14.25" customHeight="1" thickBot="1">
      <c r="A40" s="505"/>
      <c r="B40" s="1010"/>
      <c r="C40" s="1011"/>
      <c r="D40" s="981" t="s">
        <v>268</v>
      </c>
      <c r="E40" s="982"/>
      <c r="F40" s="982"/>
      <c r="G40" s="983"/>
      <c r="H40" s="978" t="s">
        <v>269</v>
      </c>
      <c r="I40" s="979"/>
      <c r="J40" s="979"/>
      <c r="K40" s="980"/>
      <c r="L40" s="688"/>
      <c r="M40" s="688"/>
      <c r="N40" s="817"/>
      <c r="O40" s="688"/>
      <c r="P40" s="688"/>
      <c r="Q40" s="801"/>
      <c r="R40" s="792"/>
      <c r="S40" s="811"/>
      <c r="T40" s="815"/>
      <c r="U40" s="688"/>
      <c r="V40" s="811"/>
      <c r="W40" s="811"/>
      <c r="X40" s="811"/>
      <c r="Y40" s="789"/>
      <c r="Z40" s="819"/>
      <c r="AA40" s="789"/>
      <c r="AB40" s="792"/>
      <c r="AC40" s="792"/>
      <c r="AD40" s="688"/>
      <c r="AE40" s="688"/>
      <c r="AF40" s="688"/>
      <c r="AG40" s="688"/>
      <c r="AH40" s="688"/>
      <c r="AI40" s="794"/>
      <c r="AJ40" s="794"/>
      <c r="AK40" s="794"/>
      <c r="AL40" s="794"/>
      <c r="AM40" s="794"/>
      <c r="AN40" s="794"/>
      <c r="AO40" s="794"/>
      <c r="AP40" s="794"/>
      <c r="AQ40" s="794"/>
      <c r="AR40" s="675"/>
      <c r="AS40" s="675"/>
      <c r="AT40" s="675"/>
      <c r="AU40" s="675"/>
      <c r="AV40" s="675"/>
      <c r="AW40" s="675"/>
      <c r="AX40" s="675"/>
      <c r="AY40" s="675"/>
      <c r="AZ40" s="675"/>
      <c r="BA40" s="675"/>
      <c r="BB40" s="675"/>
      <c r="BC40" s="656"/>
      <c r="BD40" s="656"/>
      <c r="BE40" s="656"/>
      <c r="BF40" s="656"/>
      <c r="BG40" s="656"/>
      <c r="BH40" s="656"/>
      <c r="BI40" s="656"/>
      <c r="BJ40" s="656"/>
      <c r="BK40" s="656"/>
      <c r="BL40" s="656"/>
      <c r="BM40" s="656"/>
      <c r="BN40" s="656"/>
      <c r="BO40" s="656"/>
      <c r="BP40" s="656"/>
    </row>
    <row r="41" spans="1:68" ht="14.25" customHeight="1">
      <c r="A41" s="505"/>
      <c r="B41" s="723" t="s">
        <v>142</v>
      </c>
      <c r="C41" s="867" t="s">
        <v>74</v>
      </c>
      <c r="D41" s="724">
        <f>O20</f>
        <v>4.2779482683033754</v>
      </c>
      <c r="E41" s="725" t="s">
        <v>2</v>
      </c>
      <c r="F41" s="726">
        <f>O20</f>
        <v>4.2779482683033754</v>
      </c>
      <c r="G41" s="727" t="s">
        <v>2</v>
      </c>
      <c r="H41" s="724">
        <f>IF(Eingabe!$G$5="Einreihige Ankeranordnung","",P20)</f>
        <v>3.3432704953967556</v>
      </c>
      <c r="I41" s="725" t="str">
        <f>IF($G$5="Zweireihige Ankeranordnung","[kN]","")</f>
        <v>[kN]</v>
      </c>
      <c r="J41" s="726">
        <f>IF(Eingabe!$G$5="Einreihige Ankeranordnung","",P20)</f>
        <v>3.3432704953967556</v>
      </c>
      <c r="K41" s="728" t="str">
        <f>IF($G$5="Zweireihige Ankeranordnung","[kN]","")</f>
        <v>[kN]</v>
      </c>
      <c r="L41" s="688"/>
      <c r="M41" s="688"/>
      <c r="N41" s="688" t="s">
        <v>479</v>
      </c>
      <c r="O41" s="688"/>
      <c r="P41" s="688"/>
      <c r="Q41" s="801"/>
      <c r="R41" s="688"/>
      <c r="S41" s="811"/>
      <c r="T41" s="815"/>
      <c r="U41" s="688"/>
      <c r="V41" s="811"/>
      <c r="W41" s="811"/>
      <c r="X41" s="789"/>
      <c r="Y41" s="789"/>
      <c r="Z41" s="819"/>
      <c r="AA41" s="789"/>
      <c r="AB41" s="792"/>
      <c r="AC41" s="792"/>
      <c r="AD41" s="688"/>
      <c r="AE41" s="688"/>
      <c r="AF41" s="688"/>
      <c r="AG41" s="688"/>
      <c r="AH41" s="688"/>
      <c r="AI41" s="794"/>
      <c r="AJ41" s="794"/>
      <c r="AK41" s="794"/>
      <c r="AL41" s="794"/>
      <c r="AM41" s="794"/>
      <c r="AN41" s="794"/>
      <c r="AO41" s="794"/>
      <c r="AP41" s="794"/>
      <c r="AQ41" s="794"/>
      <c r="AR41" s="675"/>
      <c r="AS41" s="675"/>
      <c r="AT41" s="675"/>
      <c r="AU41" s="675"/>
      <c r="AV41" s="675"/>
      <c r="AW41" s="675"/>
      <c r="AX41" s="675"/>
      <c r="AY41" s="675"/>
      <c r="AZ41" s="675"/>
      <c r="BA41" s="675"/>
      <c r="BB41" s="675"/>
      <c r="BC41" s="656"/>
      <c r="BD41" s="656"/>
      <c r="BE41" s="656"/>
      <c r="BF41" s="656"/>
      <c r="BG41" s="656"/>
      <c r="BH41" s="656"/>
      <c r="BI41" s="656"/>
      <c r="BJ41" s="656"/>
      <c r="BK41" s="656"/>
      <c r="BL41" s="656"/>
      <c r="BM41" s="656"/>
      <c r="BN41" s="656"/>
      <c r="BO41" s="656"/>
      <c r="BP41" s="656"/>
    </row>
    <row r="42" spans="1:68" ht="14.25" customHeight="1">
      <c r="A42" s="505"/>
      <c r="B42" s="729" t="s">
        <v>143</v>
      </c>
      <c r="C42" s="868" t="s">
        <v>292</v>
      </c>
      <c r="D42" s="730">
        <f>Tragwerk!B68</f>
        <v>27.194109375</v>
      </c>
      <c r="E42" s="731" t="s">
        <v>2</v>
      </c>
      <c r="F42" s="732">
        <f>Kappe!B61</f>
        <v>27.194109375</v>
      </c>
      <c r="G42" s="733" t="s">
        <v>2</v>
      </c>
      <c r="H42" s="730">
        <f>IF(Eingabe!$G$5="Einreihige Ankeranordnung","",Tragwerk!G68)</f>
        <v>27.194109375</v>
      </c>
      <c r="I42" s="731" t="str">
        <f>IF((Eingabe!$G$5="Zweireihige Ankeranordnung"),"[kN]","")</f>
        <v>[kN]</v>
      </c>
      <c r="J42" s="732">
        <f>IF(Eingabe!$G$5="Einreihige Ankeranordnung","",Kappe!G61)</f>
        <v>27.194109375</v>
      </c>
      <c r="K42" s="734" t="str">
        <f>IF(AND(Eingabe!$G$5="Zweireihige Ankeranordnung"),"[kN]","")</f>
        <v>[kN]</v>
      </c>
      <c r="L42" s="688"/>
      <c r="M42" s="688"/>
      <c r="N42" s="688" t="s">
        <v>480</v>
      </c>
      <c r="O42" s="688"/>
      <c r="P42" s="688"/>
      <c r="Q42" s="796" t="s">
        <v>247</v>
      </c>
      <c r="R42" s="796"/>
      <c r="S42" s="819"/>
      <c r="T42" s="688"/>
      <c r="U42" s="688"/>
      <c r="V42" s="811"/>
      <c r="W42" s="811"/>
      <c r="X42" s="789"/>
      <c r="Y42" s="789"/>
      <c r="Z42" s="819"/>
      <c r="AA42" s="789"/>
      <c r="AB42" s="792"/>
      <c r="AC42" s="792"/>
      <c r="AD42" s="688"/>
      <c r="AE42" s="688"/>
      <c r="AF42" s="688"/>
      <c r="AG42" s="688"/>
      <c r="AH42" s="688"/>
      <c r="AI42" s="794"/>
      <c r="AJ42" s="794"/>
      <c r="AK42" s="794"/>
      <c r="AL42" s="794"/>
      <c r="AM42" s="794"/>
      <c r="AN42" s="794"/>
      <c r="AO42" s="794"/>
      <c r="AP42" s="794"/>
      <c r="AQ42" s="794"/>
      <c r="AR42" s="675"/>
      <c r="AS42" s="675"/>
      <c r="AT42" s="675"/>
      <c r="AU42" s="675"/>
      <c r="AV42" s="675"/>
      <c r="AW42" s="675"/>
      <c r="AX42" s="675"/>
      <c r="AY42" s="675"/>
      <c r="AZ42" s="675"/>
      <c r="BA42" s="675"/>
      <c r="BB42" s="675"/>
      <c r="BC42" s="656"/>
      <c r="BD42" s="656"/>
      <c r="BE42" s="656"/>
      <c r="BF42" s="656"/>
      <c r="BG42" s="656"/>
      <c r="BH42" s="656"/>
      <c r="BI42" s="656"/>
      <c r="BJ42" s="656"/>
      <c r="BK42" s="656"/>
      <c r="BL42" s="656"/>
      <c r="BM42" s="656"/>
      <c r="BN42" s="656"/>
      <c r="BO42" s="656"/>
      <c r="BP42" s="656"/>
    </row>
    <row r="43" spans="1:68" ht="14.25" customHeight="1" thickBot="1">
      <c r="A43" s="505"/>
      <c r="B43" s="735" t="s">
        <v>144</v>
      </c>
      <c r="C43" s="869" t="s">
        <v>293</v>
      </c>
      <c r="D43" s="736">
        <f>Tragwerk!B91</f>
        <v>54.38821875</v>
      </c>
      <c r="E43" s="737" t="s">
        <v>2</v>
      </c>
      <c r="F43" s="738">
        <f>Kappe!B84</f>
        <v>27.194109375</v>
      </c>
      <c r="G43" s="739" t="s">
        <v>2</v>
      </c>
      <c r="H43" s="736">
        <f>IF(Eingabe!$G$5="Einreihige Ankeranordnung","",Tragwerk!G91)</f>
        <v>27.194109375</v>
      </c>
      <c r="I43" s="737" t="str">
        <f>IF((Eingabe!$G$5="Zweireihige Ankeranordnung"),"[kN]","")</f>
        <v>[kN]</v>
      </c>
      <c r="J43" s="738">
        <f>IF($G$5="Zweireihige Ankeranordnung",Kappe!G84,"")</f>
        <v>54.38821875</v>
      </c>
      <c r="K43" s="740" t="str">
        <f>IF(AND(Eingabe!$G$5="Zweireihige Ankeranordnung"),"[kN]","")</f>
        <v>[kN]</v>
      </c>
      <c r="L43" s="688"/>
      <c r="M43" s="688"/>
      <c r="N43" s="688" t="s">
        <v>478</v>
      </c>
      <c r="O43" s="688"/>
      <c r="P43" s="688"/>
      <c r="Q43" s="801" t="s">
        <v>37</v>
      </c>
      <c r="R43" s="801" t="s">
        <v>38</v>
      </c>
      <c r="S43" s="688"/>
      <c r="T43" s="814" t="s">
        <v>39</v>
      </c>
      <c r="U43" s="688"/>
      <c r="V43" s="820" t="s">
        <v>1166</v>
      </c>
      <c r="W43" s="820" t="s">
        <v>409</v>
      </c>
      <c r="X43" s="821" t="s">
        <v>1167</v>
      </c>
      <c r="Y43" s="789"/>
      <c r="Z43" s="822" t="s">
        <v>1168</v>
      </c>
      <c r="AA43" s="820" t="s">
        <v>1169</v>
      </c>
      <c r="AB43" s="814" t="s">
        <v>1170</v>
      </c>
      <c r="AC43" s="792"/>
      <c r="AD43" s="820" t="s">
        <v>1171</v>
      </c>
      <c r="AE43" s="688" t="s">
        <v>464</v>
      </c>
      <c r="AF43" s="688"/>
      <c r="AG43" s="688"/>
      <c r="AH43" s="688"/>
      <c r="AI43" s="794"/>
      <c r="AJ43" s="794"/>
      <c r="AK43" s="794"/>
      <c r="AL43" s="794"/>
      <c r="AM43" s="794"/>
      <c r="AN43" s="794"/>
      <c r="AO43" s="794"/>
      <c r="AP43" s="794"/>
      <c r="AQ43" s="794"/>
      <c r="AR43" s="675"/>
      <c r="AS43" s="675"/>
      <c r="AT43" s="675"/>
      <c r="AU43" s="675"/>
      <c r="AV43" s="675"/>
      <c r="AW43" s="675"/>
      <c r="AX43" s="675"/>
      <c r="AY43" s="675"/>
      <c r="AZ43" s="675"/>
      <c r="BA43" s="675"/>
      <c r="BB43" s="675"/>
      <c r="BC43" s="656"/>
      <c r="BD43" s="656"/>
      <c r="BE43" s="656"/>
      <c r="BF43" s="656"/>
      <c r="BG43" s="656"/>
      <c r="BH43" s="656"/>
      <c r="BI43" s="656"/>
      <c r="BJ43" s="656"/>
      <c r="BK43" s="656"/>
      <c r="BL43" s="656"/>
      <c r="BM43" s="656"/>
      <c r="BN43" s="656"/>
      <c r="BO43" s="656"/>
      <c r="BP43" s="656"/>
    </row>
    <row r="44" spans="1:68" ht="14.25" customHeight="1" thickBot="1">
      <c r="A44" s="505"/>
      <c r="B44" s="975"/>
      <c r="C44" s="976"/>
      <c r="D44" s="960" t="s">
        <v>266</v>
      </c>
      <c r="E44" s="977"/>
      <c r="F44" s="977"/>
      <c r="G44" s="977"/>
      <c r="H44" s="962" t="s">
        <v>267</v>
      </c>
      <c r="I44" s="963"/>
      <c r="J44" s="963"/>
      <c r="K44" s="999"/>
      <c r="L44" s="688"/>
      <c r="M44" s="789"/>
      <c r="N44" s="791"/>
      <c r="O44" s="688"/>
      <c r="P44" s="688" t="s">
        <v>114</v>
      </c>
      <c r="Q44" s="796">
        <f>IF(D49&gt;100,1,0)</f>
        <v>0</v>
      </c>
      <c r="R44" s="796">
        <f>IF(OR(H49&lt;100,H49=""),0,1)</f>
        <v>0</v>
      </c>
      <c r="S44" s="796"/>
      <c r="T44" s="688" t="s">
        <v>200</v>
      </c>
      <c r="U44" s="688"/>
      <c r="V44" s="811">
        <v>13</v>
      </c>
      <c r="W44" s="805">
        <f>VLOOKUP(C4,T44:V46,3)</f>
        <v>19</v>
      </c>
      <c r="X44" s="816">
        <f>C18-C19-V44</f>
        <v>82</v>
      </c>
      <c r="Y44" s="789"/>
      <c r="Z44" s="793">
        <v>24</v>
      </c>
      <c r="AA44" s="805">
        <v>251</v>
      </c>
      <c r="AB44" s="805">
        <v>24</v>
      </c>
      <c r="AC44" s="792"/>
      <c r="AD44" s="815">
        <f>PI()*(POWER(AB44,2)-POWER(16,2))/4</f>
        <v>251.32741228718345</v>
      </c>
      <c r="AE44" s="688">
        <v>16</v>
      </c>
      <c r="AF44" s="688"/>
      <c r="AG44" s="688"/>
      <c r="AH44" s="688"/>
      <c r="AI44" s="794"/>
      <c r="AJ44" s="794"/>
      <c r="AK44" s="794"/>
      <c r="AL44" s="794"/>
      <c r="AM44" s="794"/>
      <c r="AN44" s="794"/>
      <c r="AO44" s="794"/>
      <c r="AP44" s="794"/>
      <c r="AQ44" s="794"/>
      <c r="AR44" s="675"/>
      <c r="AS44" s="675"/>
      <c r="AT44" s="675"/>
      <c r="AU44" s="675"/>
      <c r="AV44" s="675"/>
      <c r="AW44" s="675"/>
      <c r="AX44" s="675"/>
      <c r="AY44" s="675"/>
      <c r="AZ44" s="675"/>
      <c r="BA44" s="675"/>
      <c r="BB44" s="675"/>
      <c r="BC44" s="656"/>
      <c r="BD44" s="656"/>
      <c r="BE44" s="656"/>
      <c r="BF44" s="656"/>
      <c r="BG44" s="656"/>
      <c r="BH44" s="656"/>
      <c r="BI44" s="656"/>
      <c r="BJ44" s="656"/>
      <c r="BK44" s="656"/>
      <c r="BL44" s="656"/>
      <c r="BM44" s="656"/>
      <c r="BN44" s="656"/>
      <c r="BO44" s="656"/>
      <c r="BP44" s="656"/>
    </row>
    <row r="45" spans="1:68" ht="14.25" customHeight="1">
      <c r="A45" s="505"/>
      <c r="B45" s="723" t="s">
        <v>140</v>
      </c>
      <c r="C45" s="867" t="s">
        <v>71</v>
      </c>
      <c r="D45" s="741">
        <f>HLOOKUP(LEFT($C$4,21),Tragwerk!A14:E50,37)</f>
        <v>53.973326745717607</v>
      </c>
      <c r="E45" s="742" t="s">
        <v>2</v>
      </c>
      <c r="F45" s="743">
        <f>HLOOKUP(LEFT($C$4,21),Kappe!A12:E60,25)</f>
        <v>34.202213971405548</v>
      </c>
      <c r="G45" s="743" t="s">
        <v>2</v>
      </c>
      <c r="H45" s="741">
        <f>IF(Eingabe!$G$5="Einreihige Ankeranordnung","",HLOOKUP(LEFT($C$4,21),Tragwerk!F14:J50,37))</f>
        <v>53.973326745717607</v>
      </c>
      <c r="I45" s="742" t="str">
        <f>IF($G$5="Zweireihige Ankeranordnung","[kN]","")</f>
        <v>[kN]</v>
      </c>
      <c r="J45" s="743">
        <f>IF(Eingabe!$G$5="Einreihige Ankeranordnung","",HLOOKUP(LEFT($C$4,21),Kappe!F12:J36,25))</f>
        <v>34.202213971405548</v>
      </c>
      <c r="K45" s="744" t="str">
        <f>IF($G$5="Zweireihige Ankeranordnung","[kN]","")</f>
        <v>[kN]</v>
      </c>
      <c r="L45" s="789"/>
      <c r="M45" s="789"/>
      <c r="N45" s="817"/>
      <c r="O45" s="688"/>
      <c r="P45" s="688" t="s">
        <v>113</v>
      </c>
      <c r="Q45" s="796">
        <f>IF(F49&gt;100,1,0)</f>
        <v>0</v>
      </c>
      <c r="R45" s="796">
        <f>IF(OR(J49&lt;100,J49=""),0,1)</f>
        <v>0</v>
      </c>
      <c r="S45" s="688"/>
      <c r="T45" s="801" t="s">
        <v>201</v>
      </c>
      <c r="U45" s="688"/>
      <c r="V45" s="792">
        <v>16</v>
      </c>
      <c r="W45" s="792"/>
      <c r="X45" s="806">
        <f>C18-C19-V45</f>
        <v>79</v>
      </c>
      <c r="Y45" s="688"/>
      <c r="Z45" s="793">
        <v>30</v>
      </c>
      <c r="AA45" s="796">
        <v>393</v>
      </c>
      <c r="AB45" s="796">
        <v>50</v>
      </c>
      <c r="AC45" s="802"/>
      <c r="AD45" s="815">
        <f>PI()*(POWER(AB45,2)-POWER(20,2))/4</f>
        <v>1649.3361431346414</v>
      </c>
      <c r="AE45" s="688">
        <v>20</v>
      </c>
      <c r="AF45" s="688"/>
      <c r="AG45" s="688"/>
      <c r="AH45" s="688"/>
      <c r="AI45" s="794"/>
      <c r="AJ45" s="794"/>
      <c r="AK45" s="794"/>
      <c r="AL45" s="794"/>
      <c r="AM45" s="794"/>
      <c r="AN45" s="794"/>
      <c r="AO45" s="794"/>
      <c r="AP45" s="794"/>
      <c r="AQ45" s="794"/>
      <c r="AR45" s="675"/>
      <c r="AS45" s="675"/>
      <c r="AT45" s="675"/>
      <c r="AU45" s="675"/>
      <c r="AV45" s="675"/>
      <c r="AW45" s="675"/>
      <c r="AX45" s="675"/>
      <c r="AY45" s="675"/>
      <c r="AZ45" s="675"/>
      <c r="BA45" s="675"/>
      <c r="BB45" s="675"/>
      <c r="BC45" s="656"/>
      <c r="BD45" s="656"/>
      <c r="BE45" s="656"/>
      <c r="BF45" s="656"/>
      <c r="BG45" s="656"/>
      <c r="BH45" s="656"/>
      <c r="BI45" s="656"/>
      <c r="BJ45" s="656"/>
      <c r="BK45" s="656"/>
      <c r="BL45" s="656"/>
      <c r="BM45" s="656"/>
      <c r="BN45" s="656"/>
      <c r="BO45" s="656"/>
      <c r="BP45" s="656"/>
    </row>
    <row r="46" spans="1:68" ht="14.25" customHeight="1">
      <c r="A46" s="505"/>
      <c r="B46" s="729" t="s">
        <v>141</v>
      </c>
      <c r="C46" s="868" t="s">
        <v>123</v>
      </c>
      <c r="D46" s="745">
        <f>HLOOKUP(LEFT($C$4,21),Tragwerk!A14:E50,26)</f>
        <v>59.246248656498729</v>
      </c>
      <c r="E46" s="746" t="s">
        <v>2</v>
      </c>
      <c r="F46" s="747">
        <f>HLOOKUP(LEFT($C$4,21),Kappe!A12:E60,13)</f>
        <v>84.75</v>
      </c>
      <c r="G46" s="747" t="s">
        <v>2</v>
      </c>
      <c r="H46" s="745">
        <f>IF(Eingabe!$G$5="Einreihige Ankeranordnung","",HLOOKUP(LEFT($C$4,21),Tragwerk!F14:J50,26))</f>
        <v>59.246248656498729</v>
      </c>
      <c r="I46" s="746" t="str">
        <f>IF($G$5="Zweireihige Ankeranordnung","[kN]","")</f>
        <v>[kN]</v>
      </c>
      <c r="J46" s="747">
        <f>IF(Eingabe!$G$5="Einreihige Ankeranordnung","",HLOOKUP(LEFT($C$4,21),Kappe!F12:J36,13))</f>
        <v>84.75</v>
      </c>
      <c r="K46" s="748" t="str">
        <f>IF($G$5="Zweireihige Ankeranordnung","[kN]","")</f>
        <v>[kN]</v>
      </c>
      <c r="L46" s="789"/>
      <c r="M46" s="789"/>
      <c r="N46" s="817"/>
      <c r="O46" s="688"/>
      <c r="P46" s="688"/>
      <c r="Q46" s="796">
        <f>SUM(Q44:Q45)</f>
        <v>0</v>
      </c>
      <c r="R46" s="796">
        <f>IF(G5="Einreihige Dübelanordnung",0,SUM(R44:R45))</f>
        <v>0</v>
      </c>
      <c r="S46" s="688"/>
      <c r="T46" s="688" t="s">
        <v>202</v>
      </c>
      <c r="U46" s="688"/>
      <c r="V46" s="792">
        <v>19</v>
      </c>
      <c r="W46" s="792"/>
      <c r="X46" s="806">
        <f>C18-C19-V46</f>
        <v>76</v>
      </c>
      <c r="Y46" s="688"/>
      <c r="Z46" s="793">
        <v>36</v>
      </c>
      <c r="AA46" s="796">
        <v>565</v>
      </c>
      <c r="AB46" s="796">
        <v>70</v>
      </c>
      <c r="AC46" s="792"/>
      <c r="AD46" s="815">
        <f>PI()*((POWER(AB46,2)-POWER(24,2))/4)</f>
        <v>3396.0616585305665</v>
      </c>
      <c r="AE46" s="688">
        <v>24</v>
      </c>
      <c r="AF46" s="688"/>
      <c r="AG46" s="688"/>
      <c r="AH46" s="688"/>
      <c r="AI46" s="794"/>
      <c r="AJ46" s="794"/>
      <c r="AK46" s="794"/>
      <c r="AL46" s="794"/>
      <c r="AM46" s="794"/>
      <c r="AN46" s="794"/>
      <c r="AO46" s="794"/>
      <c r="AP46" s="794"/>
      <c r="AQ46" s="794"/>
      <c r="AR46" s="675"/>
      <c r="AS46" s="675"/>
      <c r="AT46" s="675"/>
      <c r="AU46" s="675"/>
      <c r="AV46" s="675"/>
      <c r="AW46" s="675"/>
      <c r="AX46" s="675"/>
      <c r="AY46" s="675"/>
      <c r="AZ46" s="675"/>
      <c r="BA46" s="675"/>
      <c r="BB46" s="675"/>
      <c r="BC46" s="656"/>
      <c r="BD46" s="656"/>
      <c r="BE46" s="656"/>
      <c r="BF46" s="656"/>
      <c r="BG46" s="656"/>
      <c r="BH46" s="656"/>
      <c r="BI46" s="656"/>
      <c r="BJ46" s="656"/>
      <c r="BK46" s="656"/>
      <c r="BL46" s="656"/>
      <c r="BM46" s="656"/>
      <c r="BN46" s="656"/>
      <c r="BO46" s="656"/>
      <c r="BP46" s="656"/>
    </row>
    <row r="47" spans="1:68" ht="14.25" customHeight="1">
      <c r="A47" s="505"/>
      <c r="B47" s="729" t="s">
        <v>405</v>
      </c>
      <c r="C47" s="868" t="s">
        <v>65</v>
      </c>
      <c r="D47" s="745">
        <f>HLOOKUP(LEFT($C$4,21),Tragwerk!A14:E67,54)</f>
        <v>30.470483311968351</v>
      </c>
      <c r="E47" s="749" t="s">
        <v>2</v>
      </c>
      <c r="F47" s="732">
        <f>HLOOKUP(LEFT($C$4,21),Kappe!A12:E60,49)</f>
        <v>30.470483311968351</v>
      </c>
      <c r="G47" s="747" t="s">
        <v>2</v>
      </c>
      <c r="H47" s="745">
        <f>IF((Eingabe!$G$5="Zweireihige Ankeranordnung"),HLOOKUP(LEFT($C$4,21),Tragwerk!F14:J67,54),"")</f>
        <v>30.470483311968351</v>
      </c>
      <c r="I47" s="746" t="str">
        <f>IF($G$5="Zweireihige Ankeranordnung","[kN]","")</f>
        <v>[kN]</v>
      </c>
      <c r="J47" s="732">
        <f>IF(Eingabe!$G$5="Zweireihige Ankeranordnung",HLOOKUP(LEFT($C$4,21),Kappe!F12:J60,49),"")</f>
        <v>30.693318890866021</v>
      </c>
      <c r="K47" s="748" t="str">
        <f>IF($G$5="Zweireihige Ankeranordnung","[kN]","")</f>
        <v>[kN]</v>
      </c>
      <c r="L47" s="789"/>
      <c r="M47" s="789"/>
      <c r="N47" s="817"/>
      <c r="O47" s="688"/>
      <c r="P47" s="688"/>
      <c r="Q47" s="796"/>
      <c r="R47" s="796"/>
      <c r="S47" s="688"/>
      <c r="T47" s="688"/>
      <c r="U47" s="688"/>
      <c r="V47" s="792"/>
      <c r="W47" s="792"/>
      <c r="X47" s="806"/>
      <c r="Y47" s="688"/>
      <c r="Z47" s="793"/>
      <c r="AA47" s="796"/>
      <c r="AB47" s="796"/>
      <c r="AC47" s="792"/>
      <c r="AD47" s="815"/>
      <c r="AE47" s="688"/>
      <c r="AF47" s="688"/>
      <c r="AG47" s="688"/>
      <c r="AH47" s="688"/>
      <c r="AI47" s="794"/>
      <c r="AJ47" s="794"/>
      <c r="AK47" s="794"/>
      <c r="AL47" s="794"/>
      <c r="AM47" s="794"/>
      <c r="AN47" s="794"/>
      <c r="AO47" s="794"/>
      <c r="AP47" s="794"/>
      <c r="AQ47" s="794"/>
      <c r="AR47" s="675"/>
      <c r="AS47" s="675"/>
      <c r="AT47" s="675"/>
      <c r="AU47" s="675"/>
      <c r="AV47" s="675"/>
      <c r="AW47" s="675"/>
      <c r="AX47" s="675"/>
      <c r="AY47" s="675"/>
      <c r="AZ47" s="675"/>
      <c r="BA47" s="675"/>
      <c r="BB47" s="675"/>
      <c r="BC47" s="656"/>
      <c r="BD47" s="656"/>
      <c r="BE47" s="656"/>
      <c r="BF47" s="656"/>
      <c r="BG47" s="656"/>
      <c r="BH47" s="656"/>
      <c r="BI47" s="656"/>
      <c r="BJ47" s="656"/>
      <c r="BK47" s="656"/>
      <c r="BL47" s="656"/>
      <c r="BM47" s="656"/>
      <c r="BN47" s="656"/>
      <c r="BO47" s="656"/>
      <c r="BP47" s="656"/>
    </row>
    <row r="48" spans="1:68" ht="14.25" customHeight="1" thickBot="1">
      <c r="A48" s="505"/>
      <c r="B48" s="735" t="s">
        <v>493</v>
      </c>
      <c r="C48" s="869" t="s">
        <v>494</v>
      </c>
      <c r="D48" s="750">
        <f>HLOOKUP(LEFT($C$4,21),Tragwerk!A14:E90,77)</f>
        <v>134.93331686429403</v>
      </c>
      <c r="E48" s="751" t="s">
        <v>2</v>
      </c>
      <c r="F48" s="738">
        <f>HLOOKUP(LEFT($C$4,21),Kappe!A12:E67,56)</f>
        <v>68.404427942811097</v>
      </c>
      <c r="G48" s="738" t="s">
        <v>2</v>
      </c>
      <c r="H48" s="752">
        <f>IF((Eingabe!$G$5="Zweireihige Ankeranordnung"),HLOOKUP(LEFT($C$4,21),Tragwerk!F14:J90,77),"")</f>
        <v>134.93331686429403</v>
      </c>
      <c r="I48" s="751" t="str">
        <f>IF($G$5="Zweireihige Ankeranordnung","[kN]","")</f>
        <v>[kN]</v>
      </c>
      <c r="J48" s="738">
        <f>IF(Eingabe!$G$5="Zweireihige Ankeranordnung",HLOOKUP(LEFT($C$4,21),Kappe!F12:J67,56),"")</f>
        <v>68.404427942811097</v>
      </c>
      <c r="K48" s="753" t="str">
        <f>IF($G$5="Zweireihige Ankeranordnung","[kN]","")</f>
        <v>[kN]</v>
      </c>
      <c r="L48" s="789"/>
      <c r="M48" s="789"/>
      <c r="N48" s="817"/>
      <c r="O48" s="688"/>
      <c r="P48" s="688" t="s">
        <v>264</v>
      </c>
      <c r="Q48" s="877">
        <f>IF(SUM(Q46:R46)=0,0,1)</f>
        <v>0</v>
      </c>
      <c r="R48" s="877"/>
      <c r="S48" s="688"/>
      <c r="T48" s="688"/>
      <c r="U48" s="688"/>
      <c r="V48" s="811"/>
      <c r="W48" s="792"/>
      <c r="X48" s="688"/>
      <c r="Y48" s="688"/>
      <c r="Z48" s="791"/>
      <c r="AA48" s="688"/>
      <c r="AB48" s="688"/>
      <c r="AC48" s="792"/>
      <c r="AD48" s="792"/>
      <c r="AE48" s="688"/>
      <c r="AF48" s="688"/>
      <c r="AG48" s="688"/>
      <c r="AH48" s="688"/>
      <c r="AI48" s="794"/>
      <c r="AJ48" s="794"/>
      <c r="AK48" s="794"/>
      <c r="AL48" s="794"/>
      <c r="AM48" s="794"/>
      <c r="AN48" s="794"/>
      <c r="AO48" s="794"/>
      <c r="AP48" s="794"/>
      <c r="AQ48" s="794"/>
      <c r="AR48" s="675"/>
      <c r="AS48" s="675"/>
      <c r="AT48" s="675"/>
      <c r="AU48" s="675"/>
      <c r="AV48" s="675"/>
      <c r="AW48" s="675"/>
      <c r="AX48" s="675"/>
      <c r="AY48" s="675"/>
      <c r="AZ48" s="675"/>
      <c r="BA48" s="675"/>
      <c r="BB48" s="675"/>
      <c r="BC48" s="656"/>
      <c r="BD48" s="656"/>
      <c r="BE48" s="656"/>
      <c r="BF48" s="656"/>
      <c r="BG48" s="656"/>
      <c r="BH48" s="656"/>
      <c r="BI48" s="656"/>
      <c r="BJ48" s="656"/>
      <c r="BK48" s="656"/>
      <c r="BL48" s="656"/>
      <c r="BM48" s="656"/>
      <c r="BN48" s="656"/>
      <c r="BO48" s="656"/>
      <c r="BP48" s="656"/>
    </row>
    <row r="49" spans="1:68" ht="14.25" customHeight="1" thickBot="1">
      <c r="A49" s="505"/>
      <c r="B49" s="754" t="s">
        <v>270</v>
      </c>
      <c r="C49" s="755"/>
      <c r="D49" s="756">
        <f>HLOOKUP(LEFT($C$4,21),Tragwerk!B14:D99,86)*100</f>
        <v>80.977854917309827</v>
      </c>
      <c r="E49" s="757" t="s">
        <v>32</v>
      </c>
      <c r="F49" s="757">
        <f>HLOOKUP(LEFT($C$4,21),Kappe!A12:E92,81)*100</f>
        <v>84.795996148612602</v>
      </c>
      <c r="G49" s="758" t="s">
        <v>32</v>
      </c>
      <c r="H49" s="756">
        <f>IF($G$5="Zweireihige Ankeranordnung",(HLOOKUP(LEFT($C$4,21),Tragwerk!G14:I99,86)*100),"")</f>
        <v>79.53473812045489</v>
      </c>
      <c r="I49" s="759" t="str">
        <f>IF($G$5="Zweireihige Ankeranordnung","[%]","")</f>
        <v>[%]</v>
      </c>
      <c r="J49" s="757">
        <f>IF($G$5="Zweireihige Ankeranordnung",(HLOOKUP(LEFT($C$4,21),Kappe!F12:J92,81)*100),"")</f>
        <v>81.978711895705104</v>
      </c>
      <c r="K49" s="760" t="str">
        <f>IF($G$5="Zweireihige Ankeranordnung","[%]","")</f>
        <v>[%]</v>
      </c>
      <c r="L49" s="789"/>
      <c r="M49" s="823"/>
      <c r="N49" s="824"/>
      <c r="O49" s="790"/>
      <c r="P49" s="790"/>
      <c r="Q49" s="790"/>
      <c r="R49" s="790"/>
      <c r="S49" s="825" t="s">
        <v>408</v>
      </c>
      <c r="T49" s="826" t="s">
        <v>473</v>
      </c>
      <c r="U49" s="826" t="s">
        <v>476</v>
      </c>
      <c r="V49" s="826" t="s">
        <v>413</v>
      </c>
      <c r="W49" s="826" t="s">
        <v>1172</v>
      </c>
      <c r="X49" s="826" t="s">
        <v>1173</v>
      </c>
      <c r="Y49" s="807" t="s">
        <v>477</v>
      </c>
      <c r="Z49" s="827" t="s">
        <v>414</v>
      </c>
      <c r="AA49" s="825" t="s">
        <v>413</v>
      </c>
      <c r="AB49" s="825" t="s">
        <v>1174</v>
      </c>
      <c r="AC49" s="826"/>
      <c r="AD49" s="825" t="s">
        <v>413</v>
      </c>
      <c r="AE49" s="688" t="s">
        <v>465</v>
      </c>
      <c r="AF49" s="688"/>
      <c r="AG49" s="688"/>
      <c r="AH49" s="688"/>
      <c r="AI49" s="794"/>
      <c r="AJ49" s="794"/>
      <c r="AK49" s="794"/>
      <c r="AL49" s="794"/>
      <c r="AM49" s="794"/>
      <c r="AN49" s="794"/>
      <c r="AO49" s="794"/>
      <c r="AP49" s="794"/>
      <c r="AQ49" s="794"/>
      <c r="AR49" s="675"/>
      <c r="AS49" s="675"/>
      <c r="AT49" s="675"/>
      <c r="AU49" s="675"/>
      <c r="AV49" s="675"/>
      <c r="AW49" s="675"/>
      <c r="AX49" s="675"/>
      <c r="AY49" s="675"/>
      <c r="AZ49" s="675"/>
      <c r="BA49" s="675"/>
      <c r="BB49" s="675"/>
      <c r="BC49" s="656"/>
      <c r="BD49" s="656"/>
      <c r="BE49" s="656"/>
      <c r="BF49" s="656"/>
      <c r="BG49" s="656"/>
      <c r="BH49" s="656"/>
      <c r="BI49" s="656"/>
      <c r="BJ49" s="656"/>
      <c r="BK49" s="656"/>
      <c r="BL49" s="656"/>
      <c r="BM49" s="656"/>
      <c r="BN49" s="656"/>
      <c r="BO49" s="656"/>
      <c r="BP49" s="656"/>
    </row>
    <row r="50" spans="1:68" ht="17.850000000000001" customHeight="1" thickBot="1">
      <c r="A50" s="505"/>
      <c r="B50" s="969" t="s">
        <v>523</v>
      </c>
      <c r="C50" s="970"/>
      <c r="D50" s="970"/>
      <c r="E50" s="970"/>
      <c r="F50" s="970"/>
      <c r="G50" s="970"/>
      <c r="H50" s="970"/>
      <c r="I50" s="970"/>
      <c r="J50" s="970"/>
      <c r="K50" s="971"/>
      <c r="L50" s="789"/>
      <c r="M50" s="823"/>
      <c r="N50" s="824"/>
      <c r="O50" s="790"/>
      <c r="P50" s="790"/>
      <c r="Q50" s="790"/>
      <c r="R50" s="828"/>
      <c r="S50" s="829" t="s">
        <v>576</v>
      </c>
      <c r="T50" s="830">
        <f>AD45</f>
        <v>1649.3361431346414</v>
      </c>
      <c r="U50" s="826">
        <v>50</v>
      </c>
      <c r="V50" s="830">
        <f>VLOOKUP(C15,S50:T54,2)</f>
        <v>565</v>
      </c>
      <c r="W50" s="830">
        <f>V50</f>
        <v>565</v>
      </c>
      <c r="X50" s="807">
        <f>VLOOKUP(C15,S50:U54,3)</f>
        <v>36</v>
      </c>
      <c r="Y50" s="807">
        <v>20</v>
      </c>
      <c r="Z50" s="826">
        <f>VLOOKUP(C4,T44:Z46,7)</f>
        <v>36</v>
      </c>
      <c r="AA50" s="826">
        <f>VLOOKUP(C4,T44:AA46,8)</f>
        <v>565</v>
      </c>
      <c r="AB50" s="826">
        <f>VLOOKUP(C4,T44:AB46,9)</f>
        <v>70</v>
      </c>
      <c r="AC50" s="826"/>
      <c r="AD50" s="831">
        <f>VLOOKUP(C4,T44:AD46,11)</f>
        <v>3396.0616585305665</v>
      </c>
      <c r="AE50" s="688">
        <f>VLOOKUP(C4,T44:AE46,12)</f>
        <v>24</v>
      </c>
      <c r="AF50" s="688"/>
      <c r="AG50" s="688"/>
      <c r="AH50" s="688"/>
      <c r="AI50" s="794"/>
      <c r="AJ50" s="794"/>
      <c r="AK50" s="794"/>
      <c r="AL50" s="794"/>
      <c r="AM50" s="794"/>
      <c r="AN50" s="794"/>
      <c r="AO50" s="794"/>
      <c r="AP50" s="794"/>
      <c r="AQ50" s="794"/>
      <c r="AR50" s="675"/>
      <c r="AS50" s="675"/>
      <c r="AT50" s="675"/>
      <c r="AU50" s="675"/>
      <c r="AV50" s="675"/>
      <c r="AW50" s="675"/>
      <c r="AX50" s="675"/>
      <c r="AY50" s="675"/>
      <c r="AZ50" s="675"/>
      <c r="BA50" s="675"/>
      <c r="BB50" s="675"/>
      <c r="BC50" s="656"/>
      <c r="BD50" s="656"/>
      <c r="BE50" s="656"/>
      <c r="BF50" s="656"/>
      <c r="BG50" s="656"/>
      <c r="BH50" s="656"/>
      <c r="BI50" s="656"/>
      <c r="BJ50" s="656"/>
      <c r="BK50" s="656"/>
      <c r="BL50" s="656"/>
      <c r="BM50" s="656"/>
      <c r="BN50" s="656"/>
      <c r="BO50" s="656"/>
      <c r="BP50" s="656"/>
    </row>
    <row r="51" spans="1:68" ht="14.25" customHeight="1" thickBot="1">
      <c r="A51" s="505"/>
      <c r="B51" s="1008"/>
      <c r="C51" s="1009"/>
      <c r="D51" s="962" t="s">
        <v>263</v>
      </c>
      <c r="E51" s="963"/>
      <c r="F51" s="960" t="s">
        <v>117</v>
      </c>
      <c r="G51" s="961"/>
      <c r="H51" s="962" t="s">
        <v>263</v>
      </c>
      <c r="I51" s="963"/>
      <c r="J51" s="960" t="s">
        <v>117</v>
      </c>
      <c r="K51" s="961"/>
      <c r="L51" s="789"/>
      <c r="M51" s="823"/>
      <c r="N51" s="824"/>
      <c r="O51" s="790"/>
      <c r="P51" s="790"/>
      <c r="Q51" s="807" t="s">
        <v>248</v>
      </c>
      <c r="R51" s="807"/>
      <c r="S51" s="832" t="s">
        <v>577</v>
      </c>
      <c r="T51" s="830">
        <f>AD46</f>
        <v>3396.0616585305665</v>
      </c>
      <c r="U51" s="826">
        <v>70</v>
      </c>
      <c r="V51" s="826"/>
      <c r="W51" s="826"/>
      <c r="X51" s="790">
        <v>50</v>
      </c>
      <c r="Y51" s="807">
        <v>24</v>
      </c>
      <c r="Z51" s="790"/>
      <c r="AA51" s="790"/>
      <c r="AB51" s="826"/>
      <c r="AC51" s="826"/>
      <c r="AD51" s="790"/>
      <c r="AE51" s="688"/>
      <c r="AF51" s="688"/>
      <c r="AG51" s="688"/>
      <c r="AH51" s="688"/>
      <c r="AI51" s="794"/>
      <c r="AJ51" s="794"/>
      <c r="AK51" s="794"/>
      <c r="AL51" s="794"/>
      <c r="AM51" s="794"/>
      <c r="AN51" s="794"/>
      <c r="AO51" s="794"/>
      <c r="AP51" s="794"/>
      <c r="AQ51" s="794"/>
      <c r="AR51" s="675"/>
      <c r="AS51" s="675"/>
      <c r="AT51" s="675"/>
      <c r="AU51" s="675"/>
      <c r="AV51" s="675"/>
      <c r="AW51" s="675"/>
      <c r="AX51" s="675"/>
      <c r="AY51" s="675"/>
      <c r="AZ51" s="675"/>
      <c r="BA51" s="675"/>
      <c r="BB51" s="675"/>
      <c r="BC51" s="656"/>
      <c r="BD51" s="656"/>
      <c r="BE51" s="656"/>
      <c r="BF51" s="656"/>
      <c r="BG51" s="656"/>
      <c r="BH51" s="656"/>
      <c r="BI51" s="656"/>
      <c r="BJ51" s="656"/>
      <c r="BK51" s="656"/>
      <c r="BL51" s="656"/>
      <c r="BM51" s="656"/>
      <c r="BN51" s="656"/>
      <c r="BO51" s="656"/>
      <c r="BP51" s="656"/>
    </row>
    <row r="52" spans="1:68" ht="14.25" customHeight="1" thickBot="1">
      <c r="A52" s="505"/>
      <c r="B52" s="1010"/>
      <c r="C52" s="1011"/>
      <c r="D52" s="981" t="s">
        <v>268</v>
      </c>
      <c r="E52" s="982"/>
      <c r="F52" s="982"/>
      <c r="G52" s="983"/>
      <c r="H52" s="981" t="s">
        <v>269</v>
      </c>
      <c r="I52" s="982"/>
      <c r="J52" s="982"/>
      <c r="K52" s="983"/>
      <c r="L52" s="789"/>
      <c r="M52" s="823"/>
      <c r="N52" s="790"/>
      <c r="O52" s="790"/>
      <c r="P52" s="790"/>
      <c r="Q52" s="829" t="s">
        <v>37</v>
      </c>
      <c r="R52" s="829" t="s">
        <v>38</v>
      </c>
      <c r="S52" s="832" t="s">
        <v>470</v>
      </c>
      <c r="T52" s="807">
        <f>AA44</f>
        <v>251</v>
      </c>
      <c r="U52" s="826">
        <v>24</v>
      </c>
      <c r="V52" s="826"/>
      <c r="W52" s="826"/>
      <c r="X52" s="790"/>
      <c r="Y52" s="807">
        <v>16</v>
      </c>
      <c r="Z52" s="790"/>
      <c r="AA52" s="790"/>
      <c r="AB52" s="826"/>
      <c r="AC52" s="826"/>
      <c r="AD52" s="790"/>
      <c r="AE52" s="688"/>
      <c r="AF52" s="688"/>
      <c r="AG52" s="688"/>
      <c r="AH52" s="688"/>
      <c r="AI52" s="794"/>
      <c r="AJ52" s="794"/>
      <c r="AK52" s="794"/>
      <c r="AL52" s="794"/>
      <c r="AM52" s="794"/>
      <c r="AN52" s="794"/>
      <c r="AO52" s="794"/>
      <c r="AP52" s="794"/>
      <c r="AQ52" s="794"/>
      <c r="AR52" s="675"/>
      <c r="AS52" s="675"/>
      <c r="AT52" s="675"/>
      <c r="AU52" s="675"/>
      <c r="AV52" s="675"/>
      <c r="AW52" s="675"/>
      <c r="AX52" s="675"/>
      <c r="AY52" s="675"/>
      <c r="AZ52" s="675"/>
      <c r="BA52" s="675"/>
      <c r="BB52" s="675"/>
      <c r="BC52" s="656"/>
      <c r="BD52" s="656"/>
      <c r="BE52" s="656"/>
      <c r="BF52" s="656"/>
      <c r="BG52" s="656"/>
      <c r="BH52" s="656"/>
      <c r="BI52" s="656"/>
      <c r="BJ52" s="656"/>
      <c r="BK52" s="656"/>
      <c r="BL52" s="656"/>
      <c r="BM52" s="656"/>
      <c r="BN52" s="656"/>
      <c r="BO52" s="656"/>
      <c r="BP52" s="656"/>
    </row>
    <row r="53" spans="1:68" ht="14.25" customHeight="1">
      <c r="A53" s="505"/>
      <c r="B53" s="723" t="s">
        <v>142</v>
      </c>
      <c r="C53" s="870" t="s">
        <v>74</v>
      </c>
      <c r="D53" s="724">
        <f>O26</f>
        <v>4.7057430951337125</v>
      </c>
      <c r="E53" s="725" t="s">
        <v>2</v>
      </c>
      <c r="F53" s="726">
        <f>O26</f>
        <v>4.7057430951337125</v>
      </c>
      <c r="G53" s="727" t="s">
        <v>2</v>
      </c>
      <c r="H53" s="724">
        <f>IF(Eingabe!$G$5="Einreihige Ankeranordnung","",P26)</f>
        <v>3.6775975449364311</v>
      </c>
      <c r="I53" s="725" t="str">
        <f>IF($G$5="Zweireihige Ankeranordnung","[kN]","")</f>
        <v>[kN]</v>
      </c>
      <c r="J53" s="726">
        <f>IF(Eingabe!$G$5="Einreihige Ankeranordnung","",P26)</f>
        <v>3.6775975449364311</v>
      </c>
      <c r="K53" s="728" t="str">
        <f>IF($G$5="Zweireihige Ankeranordnung","[kN]","")</f>
        <v>[kN]</v>
      </c>
      <c r="L53" s="789"/>
      <c r="M53" s="790"/>
      <c r="N53" s="790" t="s">
        <v>66</v>
      </c>
      <c r="O53" s="790"/>
      <c r="P53" s="790" t="s">
        <v>114</v>
      </c>
      <c r="Q53" s="807">
        <f>IF(D61&gt;100,1,0)</f>
        <v>0</v>
      </c>
      <c r="R53" s="807">
        <f>IF(OR(H61&lt;100,H61=""),0,1)</f>
        <v>0</v>
      </c>
      <c r="S53" s="832" t="s">
        <v>471</v>
      </c>
      <c r="T53" s="807">
        <f>AA45</f>
        <v>393</v>
      </c>
      <c r="U53" s="826">
        <v>30</v>
      </c>
      <c r="V53" s="826"/>
      <c r="W53" s="826"/>
      <c r="X53" s="790"/>
      <c r="Y53" s="807">
        <v>20</v>
      </c>
      <c r="Z53" s="790"/>
      <c r="AA53" s="790"/>
      <c r="AB53" s="826"/>
      <c r="AC53" s="826"/>
      <c r="AD53" s="790"/>
      <c r="AE53" s="688"/>
      <c r="AF53" s="688"/>
      <c r="AG53" s="688"/>
      <c r="AH53" s="688"/>
      <c r="AI53" s="794"/>
      <c r="AJ53" s="794"/>
      <c r="AK53" s="794"/>
      <c r="AL53" s="794"/>
      <c r="AM53" s="794"/>
      <c r="AN53" s="794"/>
      <c r="AO53" s="794"/>
      <c r="AP53" s="794"/>
      <c r="AQ53" s="794"/>
      <c r="AR53" s="675"/>
      <c r="AS53" s="675"/>
      <c r="AT53" s="675"/>
      <c r="AU53" s="675"/>
      <c r="AV53" s="675"/>
      <c r="AW53" s="675"/>
      <c r="AX53" s="675"/>
      <c r="AY53" s="675"/>
      <c r="AZ53" s="675"/>
      <c r="BA53" s="675"/>
      <c r="BB53" s="675"/>
      <c r="BC53" s="656"/>
      <c r="BD53" s="656"/>
      <c r="BE53" s="656"/>
      <c r="BF53" s="656"/>
      <c r="BG53" s="656"/>
      <c r="BH53" s="656"/>
      <c r="BI53" s="656"/>
      <c r="BJ53" s="656"/>
      <c r="BK53" s="656"/>
      <c r="BL53" s="656"/>
      <c r="BM53" s="656"/>
      <c r="BN53" s="656"/>
      <c r="BO53" s="656"/>
      <c r="BP53" s="656"/>
    </row>
    <row r="54" spans="1:68" ht="14.25" customHeight="1">
      <c r="A54" s="505"/>
      <c r="B54" s="729" t="s">
        <v>143</v>
      </c>
      <c r="C54" s="871" t="s">
        <v>281</v>
      </c>
      <c r="D54" s="730">
        <f>Tragwerk!M68</f>
        <v>29.921271248249965</v>
      </c>
      <c r="E54" s="731" t="s">
        <v>2</v>
      </c>
      <c r="F54" s="732">
        <f>Kappe!L61</f>
        <v>29.921271248249965</v>
      </c>
      <c r="G54" s="733" t="s">
        <v>2</v>
      </c>
      <c r="H54" s="730">
        <f>IF(Eingabe!$G$5="Einreihige Ankeranordnung","",Tragwerk!R68)</f>
        <v>29.921271248249965</v>
      </c>
      <c r="I54" s="731" t="str">
        <f>IF((Eingabe!$G$5="Zweireihige Ankeranordnung"),"[kN]","")</f>
        <v>[kN]</v>
      </c>
      <c r="J54" s="732">
        <f>IF(Eingabe!$G$5="Einreihige Ankeranordnung","",Kappe!Q61)</f>
        <v>29.921271248249965</v>
      </c>
      <c r="K54" s="734" t="str">
        <f>IF(AND(Eingabe!$G$5="Zweireihige Ankeranordnung"),"[kN]","")</f>
        <v>[kN]</v>
      </c>
      <c r="L54" s="688"/>
      <c r="M54" s="790"/>
      <c r="N54" s="790" t="s">
        <v>67</v>
      </c>
      <c r="O54" s="790"/>
      <c r="P54" s="790" t="s">
        <v>113</v>
      </c>
      <c r="Q54" s="807">
        <f>IF(F61&gt;100,1,0)</f>
        <v>0</v>
      </c>
      <c r="R54" s="807">
        <f>IF(OR(J61&lt;100,J61=""),0,1)</f>
        <v>0</v>
      </c>
      <c r="S54" s="832" t="s">
        <v>472</v>
      </c>
      <c r="T54" s="807">
        <f>AA46</f>
        <v>565</v>
      </c>
      <c r="U54" s="826">
        <v>36</v>
      </c>
      <c r="V54" s="826"/>
      <c r="W54" s="826"/>
      <c r="X54" s="790"/>
      <c r="Y54" s="807">
        <v>24</v>
      </c>
      <c r="Z54" s="790"/>
      <c r="AA54" s="790"/>
      <c r="AB54" s="826"/>
      <c r="AC54" s="826"/>
      <c r="AD54" s="790"/>
      <c r="AE54" s="688"/>
      <c r="AF54" s="688"/>
      <c r="AG54" s="688"/>
      <c r="AH54" s="688"/>
      <c r="AI54" s="794"/>
      <c r="AJ54" s="794"/>
      <c r="AK54" s="794"/>
      <c r="AL54" s="794"/>
      <c r="AM54" s="794"/>
      <c r="AN54" s="794"/>
      <c r="AO54" s="794"/>
      <c r="AP54" s="794"/>
      <c r="AQ54" s="794"/>
      <c r="AR54" s="675"/>
      <c r="AS54" s="675"/>
      <c r="AT54" s="675"/>
      <c r="AU54" s="675"/>
      <c r="AV54" s="675"/>
      <c r="AW54" s="675"/>
      <c r="AX54" s="675"/>
      <c r="AY54" s="675"/>
      <c r="AZ54" s="675"/>
      <c r="BA54" s="675"/>
      <c r="BB54" s="675"/>
      <c r="BC54" s="656"/>
      <c r="BD54" s="656"/>
      <c r="BE54" s="656"/>
      <c r="BF54" s="656"/>
      <c r="BG54" s="656"/>
      <c r="BH54" s="656"/>
      <c r="BI54" s="656"/>
      <c r="BJ54" s="656"/>
      <c r="BK54" s="656"/>
      <c r="BL54" s="656"/>
      <c r="BM54" s="656"/>
      <c r="BN54" s="656"/>
      <c r="BO54" s="656"/>
      <c r="BP54" s="656"/>
    </row>
    <row r="55" spans="1:68" ht="14.25" customHeight="1" thickBot="1">
      <c r="A55" s="505"/>
      <c r="B55" s="761" t="s">
        <v>144</v>
      </c>
      <c r="C55" s="872" t="s">
        <v>282</v>
      </c>
      <c r="D55" s="762">
        <f>Tragwerk!M91</f>
        <v>59.842542496499931</v>
      </c>
      <c r="E55" s="763" t="s">
        <v>2</v>
      </c>
      <c r="F55" s="764">
        <f>Kappe!L84</f>
        <v>29.921271248249965</v>
      </c>
      <c r="G55" s="765" t="s">
        <v>2</v>
      </c>
      <c r="H55" s="762">
        <f>IF(Eingabe!$G$5="Einreihige Ankeranordnung","",Tragwerk!R91)</f>
        <v>29.921271248249965</v>
      </c>
      <c r="I55" s="763" t="str">
        <f>IF((Eingabe!$G$5="Zweireihige Ankeranordnung"),"[kN]","")</f>
        <v>[kN]</v>
      </c>
      <c r="J55" s="764">
        <f>IF($G$5="Zweireihige Ankeranordnung",Kappe!Q84,"")</f>
        <v>59.842542496499931</v>
      </c>
      <c r="K55" s="766" t="str">
        <f>IF(AND(Eingabe!$G$5="Zweireihige Ankeranordnung"),"[kN]","")</f>
        <v>[kN]</v>
      </c>
      <c r="L55" s="688"/>
      <c r="M55" s="790"/>
      <c r="N55" s="790"/>
      <c r="O55" s="790"/>
      <c r="P55" s="790"/>
      <c r="Q55" s="807">
        <f>SUM(Q53:Q54)</f>
        <v>0</v>
      </c>
      <c r="R55" s="807">
        <f>IF(G12="Einreihige Dübelanordnung",0,SUM(R53:R54))</f>
        <v>0</v>
      </c>
      <c r="S55" s="827" t="str">
        <f>IF(OR(C15=S50,C15=S51),"zzgl. ","und ")</f>
        <v xml:space="preserve">und </v>
      </c>
      <c r="T55" s="825"/>
      <c r="U55" s="790"/>
      <c r="V55" s="826"/>
      <c r="W55" s="826"/>
      <c r="X55" s="790"/>
      <c r="Y55" s="807" t="s">
        <v>409</v>
      </c>
      <c r="Z55" s="790"/>
      <c r="AA55" s="790"/>
      <c r="AB55" s="826"/>
      <c r="AC55" s="826"/>
      <c r="AD55" s="790"/>
      <c r="AE55" s="688"/>
      <c r="AF55" s="688"/>
      <c r="AG55" s="688"/>
      <c r="AH55" s="688"/>
      <c r="AI55" s="794"/>
      <c r="AJ55" s="794"/>
      <c r="AK55" s="794"/>
      <c r="AL55" s="794"/>
      <c r="AM55" s="794"/>
      <c r="AN55" s="794"/>
      <c r="AO55" s="794"/>
      <c r="AP55" s="794"/>
      <c r="AQ55" s="794"/>
      <c r="AR55" s="675"/>
      <c r="AS55" s="675"/>
      <c r="AT55" s="675"/>
      <c r="AU55" s="675"/>
      <c r="AV55" s="675"/>
      <c r="AW55" s="675"/>
      <c r="AX55" s="675"/>
      <c r="AY55" s="675"/>
      <c r="AZ55" s="675"/>
      <c r="BA55" s="675"/>
      <c r="BB55" s="675"/>
      <c r="BC55" s="656"/>
      <c r="BD55" s="656"/>
      <c r="BE55" s="656"/>
      <c r="BF55" s="656"/>
      <c r="BG55" s="656"/>
      <c r="BH55" s="656"/>
      <c r="BI55" s="656"/>
      <c r="BJ55" s="656"/>
      <c r="BK55" s="656"/>
      <c r="BL55" s="656"/>
      <c r="BM55" s="656"/>
      <c r="BN55" s="656"/>
      <c r="BO55" s="656"/>
      <c r="BP55" s="656"/>
    </row>
    <row r="56" spans="1:68" ht="14.25" customHeight="1" thickBot="1">
      <c r="A56" s="505"/>
      <c r="B56" s="975"/>
      <c r="C56" s="976"/>
      <c r="D56" s="960" t="s">
        <v>266</v>
      </c>
      <c r="E56" s="977"/>
      <c r="F56" s="977"/>
      <c r="G56" s="961"/>
      <c r="H56" s="960" t="s">
        <v>267</v>
      </c>
      <c r="I56" s="977"/>
      <c r="J56" s="977"/>
      <c r="K56" s="961"/>
      <c r="L56" s="688"/>
      <c r="M56" s="790"/>
      <c r="N56" s="790" t="s">
        <v>68</v>
      </c>
      <c r="O56" s="790"/>
      <c r="P56" s="790" t="s">
        <v>264</v>
      </c>
      <c r="Q56" s="833">
        <f>IF(SUM(Q55:R55)=0,0,1)</f>
        <v>0</v>
      </c>
      <c r="R56" s="833"/>
      <c r="S56" s="807" t="str">
        <f>IF(C15="Kopfplatte M20"," (Art.-Nr. 3557087)",IF(C15="Kopfplatte M24"," (Art.-Nr. 3557088)"," "))</f>
        <v xml:space="preserve"> </v>
      </c>
      <c r="T56" s="807"/>
      <c r="U56" s="790"/>
      <c r="V56" s="826"/>
      <c r="W56" s="826"/>
      <c r="X56" s="790"/>
      <c r="Y56" s="807">
        <f>VLOOKUP(C15,S50:Y54,7)</f>
        <v>24</v>
      </c>
      <c r="Z56" s="790"/>
      <c r="AA56" s="790"/>
      <c r="AB56" s="826"/>
      <c r="AC56" s="826"/>
      <c r="AD56" s="790"/>
      <c r="AE56" s="688"/>
      <c r="AF56" s="688"/>
      <c r="AG56" s="688"/>
      <c r="AH56" s="688"/>
      <c r="AI56" s="794"/>
      <c r="AJ56" s="794"/>
      <c r="AK56" s="794"/>
      <c r="AL56" s="794"/>
      <c r="AM56" s="794"/>
      <c r="AN56" s="794"/>
      <c r="AO56" s="794"/>
      <c r="AP56" s="794"/>
      <c r="AQ56" s="794"/>
      <c r="AR56" s="675"/>
      <c r="AS56" s="675"/>
      <c r="AT56" s="675"/>
      <c r="AU56" s="675"/>
      <c r="AV56" s="675"/>
      <c r="AW56" s="675"/>
      <c r="AX56" s="675"/>
      <c r="AY56" s="675"/>
      <c r="AZ56" s="675"/>
      <c r="BA56" s="675"/>
      <c r="BB56" s="675"/>
      <c r="BC56" s="656"/>
      <c r="BD56" s="656"/>
      <c r="BE56" s="656"/>
      <c r="BF56" s="656"/>
      <c r="BG56" s="656"/>
      <c r="BH56" s="656"/>
      <c r="BI56" s="656"/>
      <c r="BJ56" s="656"/>
      <c r="BK56" s="656"/>
      <c r="BL56" s="656"/>
      <c r="BM56" s="656"/>
      <c r="BN56" s="656"/>
      <c r="BO56" s="656"/>
      <c r="BP56" s="656"/>
    </row>
    <row r="57" spans="1:68" ht="14.25" customHeight="1">
      <c r="A57" s="505"/>
      <c r="B57" s="723" t="s">
        <v>140</v>
      </c>
      <c r="C57" s="867" t="s">
        <v>71</v>
      </c>
      <c r="D57" s="743">
        <f>HLOOKUP(LEFT($C$4,21),Tragwerk!M14:O50,37)</f>
        <v>53.973326745717607</v>
      </c>
      <c r="E57" s="742" t="s">
        <v>2</v>
      </c>
      <c r="F57" s="743">
        <f>HLOOKUP(LEFT($C$4,21),Kappe!L12:N60,25)</f>
        <v>34.202213971405548</v>
      </c>
      <c r="G57" s="743" t="s">
        <v>2</v>
      </c>
      <c r="H57" s="741">
        <f>IF(Eingabe!$G$5="Einreihige Ankeranordnung","",HLOOKUP(LEFT($C$4,21),Tragwerk!R14:T50,37))</f>
        <v>53.973326745717607</v>
      </c>
      <c r="I57" s="742" t="str">
        <f>IF($G$5="Zweireihige Ankeranordnung","[kN]","")</f>
        <v>[kN]</v>
      </c>
      <c r="J57" s="743">
        <f>IF(Eingabe!$G$5="Einreihige Ankeranordnung","",HLOOKUP(LEFT($C$4,21),Kappe!Q12:S36,25))</f>
        <v>34.202213971405548</v>
      </c>
      <c r="K57" s="744" t="str">
        <f>IF($G$5="Zweireihige Ankeranordnung","[kN]","")</f>
        <v>[kN]</v>
      </c>
      <c r="L57" s="688"/>
      <c r="M57" s="790"/>
      <c r="N57" s="790" t="s">
        <v>69</v>
      </c>
      <c r="O57" s="790"/>
      <c r="P57" s="790"/>
      <c r="Q57" s="790"/>
      <c r="R57" s="790"/>
      <c r="S57" s="790"/>
      <c r="T57" s="834" t="s">
        <v>1175</v>
      </c>
      <c r="U57" s="790"/>
      <c r="V57" s="826"/>
      <c r="W57" s="826"/>
      <c r="X57" s="790"/>
      <c r="Y57" s="790"/>
      <c r="Z57" s="790"/>
      <c r="AA57" s="790"/>
      <c r="AB57" s="826"/>
      <c r="AC57" s="826"/>
      <c r="AD57" s="790"/>
      <c r="AE57" s="688"/>
      <c r="AF57" s="688"/>
      <c r="AG57" s="688"/>
      <c r="AH57" s="688"/>
      <c r="AI57" s="794"/>
      <c r="AJ57" s="794"/>
      <c r="AK57" s="794"/>
      <c r="AL57" s="794"/>
      <c r="AM57" s="794"/>
      <c r="AN57" s="794"/>
      <c r="AO57" s="794"/>
      <c r="AP57" s="794"/>
      <c r="AQ57" s="794"/>
      <c r="AR57" s="675"/>
      <c r="AS57" s="675"/>
      <c r="AT57" s="675"/>
      <c r="AU57" s="675"/>
      <c r="AV57" s="675"/>
      <c r="AW57" s="675"/>
      <c r="AX57" s="675"/>
      <c r="AY57" s="675"/>
      <c r="AZ57" s="675"/>
      <c r="BA57" s="675"/>
      <c r="BB57" s="675"/>
      <c r="BC57" s="656"/>
      <c r="BD57" s="656"/>
      <c r="BE57" s="656"/>
      <c r="BF57" s="656"/>
      <c r="BG57" s="656"/>
      <c r="BH57" s="656"/>
      <c r="BI57" s="656"/>
      <c r="BJ57" s="656"/>
      <c r="BK57" s="656"/>
      <c r="BL57" s="656"/>
      <c r="BM57" s="656"/>
      <c r="BN57" s="656"/>
      <c r="BO57" s="656"/>
      <c r="BP57" s="656"/>
    </row>
    <row r="58" spans="1:68" ht="14.25" customHeight="1">
      <c r="A58" s="505"/>
      <c r="B58" s="729" t="s">
        <v>141</v>
      </c>
      <c r="C58" s="868" t="s">
        <v>123</v>
      </c>
      <c r="D58" s="747">
        <f>HLOOKUP(LEFT($C$4,21),Tragwerk!M14:O50,26)</f>
        <v>59.246248656498729</v>
      </c>
      <c r="E58" s="746" t="s">
        <v>2</v>
      </c>
      <c r="F58" s="747">
        <f>HLOOKUP(LEFT($C$4,21),Kappe!L12:N60,13)</f>
        <v>84.75</v>
      </c>
      <c r="G58" s="747" t="s">
        <v>2</v>
      </c>
      <c r="H58" s="745">
        <f>IF(Eingabe!$G$5="Einreihige Ankeranordnung","",HLOOKUP(LEFT($C$4,21),Tragwerk!R14:T50,26))</f>
        <v>59.246248656498729</v>
      </c>
      <c r="I58" s="746" t="str">
        <f>IF($G$5="Zweireihige Ankeranordnung","[kN]","")</f>
        <v>[kN]</v>
      </c>
      <c r="J58" s="747">
        <f>IF(Eingabe!$G$5="Einreihige Ankeranordnung","",HLOOKUP(LEFT($C$4,21),Kappe!Q12:S36,13))</f>
        <v>84.75</v>
      </c>
      <c r="K58" s="748" t="str">
        <f>IF($G$5="Zweireihige Ankeranordnung","[kN]","")</f>
        <v>[kN]</v>
      </c>
      <c r="L58" s="688"/>
      <c r="M58" s="790"/>
      <c r="N58" s="790"/>
      <c r="O58" s="790"/>
      <c r="P58" s="790"/>
      <c r="Q58" s="790"/>
      <c r="R58" s="790"/>
      <c r="S58" s="790"/>
      <c r="T58" s="830">
        <f>C18-C19-W44</f>
        <v>76</v>
      </c>
      <c r="U58" s="790"/>
      <c r="V58" s="826"/>
      <c r="W58" s="826"/>
      <c r="X58" s="790"/>
      <c r="Y58" s="790"/>
      <c r="Z58" s="790"/>
      <c r="AA58" s="790"/>
      <c r="AB58" s="826"/>
      <c r="AC58" s="826"/>
      <c r="AD58" s="790"/>
      <c r="AE58" s="688"/>
      <c r="AF58" s="688"/>
      <c r="AG58" s="688"/>
      <c r="AH58" s="688"/>
      <c r="AI58" s="794"/>
      <c r="AJ58" s="794"/>
      <c r="AK58" s="794"/>
      <c r="AL58" s="794"/>
      <c r="AM58" s="794"/>
      <c r="AN58" s="794"/>
      <c r="AO58" s="794"/>
      <c r="AP58" s="794"/>
      <c r="AQ58" s="794"/>
      <c r="AR58" s="675"/>
      <c r="AS58" s="675"/>
      <c r="AT58" s="675"/>
      <c r="AU58" s="675"/>
      <c r="AV58" s="675"/>
      <c r="AW58" s="675"/>
      <c r="AX58" s="675"/>
      <c r="AY58" s="675"/>
      <c r="AZ58" s="675"/>
      <c r="BA58" s="675"/>
      <c r="BB58" s="675"/>
      <c r="BC58" s="656"/>
      <c r="BD58" s="656"/>
      <c r="BE58" s="656"/>
      <c r="BF58" s="656"/>
      <c r="BG58" s="656"/>
      <c r="BH58" s="656"/>
      <c r="BI58" s="656"/>
      <c r="BJ58" s="656"/>
      <c r="BK58" s="656"/>
      <c r="BL58" s="656"/>
      <c r="BM58" s="656"/>
      <c r="BN58" s="656"/>
      <c r="BO58" s="656"/>
      <c r="BP58" s="656"/>
    </row>
    <row r="59" spans="1:68" ht="14.25" customHeight="1">
      <c r="A59" s="505"/>
      <c r="B59" s="729" t="s">
        <v>405</v>
      </c>
      <c r="C59" s="868" t="s">
        <v>65</v>
      </c>
      <c r="D59" s="747">
        <f>HLOOKUP(LEFT($C$4,21),Tragwerk!M14:O67,54)</f>
        <v>30.368493181626725</v>
      </c>
      <c r="E59" s="749" t="s">
        <v>2</v>
      </c>
      <c r="F59" s="732">
        <f>HLOOKUP(LEFT($C$4,21),Kappe!L12:N60,49)</f>
        <v>30.368493181626725</v>
      </c>
      <c r="G59" s="747" t="s">
        <v>2</v>
      </c>
      <c r="H59" s="745">
        <f>IF((Eingabe!$G$5="Zweireihige Ankeranordnung"),HLOOKUP(LEFT($C$4,21),Tragwerk!R14:T67,54),"")</f>
        <v>30.613612318414162</v>
      </c>
      <c r="I59" s="746" t="str">
        <f>IF($G$5="Zweireihige Ankeranordnung","[kN]","")</f>
        <v>[kN]</v>
      </c>
      <c r="J59" s="732">
        <f>IF(Eingabe!$G$5="Zweireihige Ankeranordnung",HLOOKUP(LEFT($C$4,21),Kappe!Q12:S60,49),"")</f>
        <v>30.613612318414162</v>
      </c>
      <c r="K59" s="748" t="str">
        <f>IF($G$5="Zweireihige Ankeranordnung","[kN]","")</f>
        <v>[kN]</v>
      </c>
      <c r="L59" s="688"/>
      <c r="M59" s="790"/>
      <c r="N59" s="790"/>
      <c r="O59" s="790"/>
      <c r="P59" s="790"/>
      <c r="Q59" s="790"/>
      <c r="R59" s="790"/>
      <c r="S59" s="790"/>
      <c r="T59" s="830"/>
      <c r="U59" s="790"/>
      <c r="V59" s="826"/>
      <c r="W59" s="826"/>
      <c r="X59" s="790"/>
      <c r="Y59" s="790"/>
      <c r="Z59" s="790"/>
      <c r="AA59" s="790"/>
      <c r="AB59" s="826"/>
      <c r="AC59" s="826"/>
      <c r="AD59" s="790"/>
      <c r="AE59" s="688"/>
      <c r="AF59" s="688"/>
      <c r="AG59" s="688"/>
      <c r="AH59" s="688"/>
      <c r="AI59" s="794"/>
      <c r="AJ59" s="794"/>
      <c r="AK59" s="794"/>
      <c r="AL59" s="794"/>
      <c r="AM59" s="794"/>
      <c r="AN59" s="794"/>
      <c r="AO59" s="794"/>
      <c r="AP59" s="794"/>
      <c r="AQ59" s="794"/>
      <c r="AR59" s="675"/>
      <c r="AS59" s="675"/>
      <c r="AT59" s="675"/>
      <c r="AU59" s="675"/>
      <c r="AV59" s="675"/>
      <c r="AW59" s="675"/>
      <c r="AX59" s="675"/>
      <c r="AY59" s="675"/>
      <c r="AZ59" s="675"/>
      <c r="BA59" s="675"/>
      <c r="BB59" s="675"/>
      <c r="BC59" s="656"/>
      <c r="BD59" s="656"/>
      <c r="BE59" s="656"/>
      <c r="BF59" s="656"/>
      <c r="BG59" s="656"/>
      <c r="BH59" s="656"/>
      <c r="BI59" s="656"/>
      <c r="BJ59" s="656"/>
      <c r="BK59" s="656"/>
      <c r="BL59" s="656"/>
      <c r="BM59" s="656"/>
      <c r="BN59" s="656"/>
      <c r="BO59" s="656"/>
      <c r="BP59" s="656"/>
    </row>
    <row r="60" spans="1:68" ht="14.25" customHeight="1" thickBot="1">
      <c r="A60" s="505"/>
      <c r="B60" s="735" t="s">
        <v>493</v>
      </c>
      <c r="C60" s="869" t="s">
        <v>494</v>
      </c>
      <c r="D60" s="767">
        <f>HLOOKUP(LEFT($C$4,21),Tragwerk!M14:O90,77)</f>
        <v>134.93331686429403</v>
      </c>
      <c r="E60" s="751" t="s">
        <v>2</v>
      </c>
      <c r="F60" s="738">
        <f>HLOOKUP(LEFT($C$4,21),Kappe!L12:N67,56)</f>
        <v>68.404427942811097</v>
      </c>
      <c r="G60" s="738" t="s">
        <v>2</v>
      </c>
      <c r="H60" s="750">
        <f>IF((Eingabe!$G$5="Zweireihige Ankeranordnung"),HLOOKUP(LEFT($C$4,21),Tragwerk!R14:T90,77),"")</f>
        <v>134.93331686429403</v>
      </c>
      <c r="I60" s="751" t="str">
        <f>IF($G$5="Zweireihige Ankeranordnung","[kN]","")</f>
        <v>[kN]</v>
      </c>
      <c r="J60" s="738">
        <f>IF(Eingabe!$G$5="Zweireihige Ankeranordnung",HLOOKUP(LEFT($C$4,21),Kappe!Q12:S67,56),"")</f>
        <v>68.404427942811097</v>
      </c>
      <c r="K60" s="753" t="str">
        <f>IF($G$5="Zweireihige Ankeranordnung","[kN]","")</f>
        <v>[kN]</v>
      </c>
      <c r="L60" s="688"/>
      <c r="M60" s="790"/>
      <c r="N60" s="790"/>
      <c r="O60" s="790"/>
      <c r="P60" s="790"/>
      <c r="Q60" s="790"/>
      <c r="R60" s="790"/>
      <c r="S60" s="790"/>
      <c r="T60" s="790"/>
      <c r="U60" s="790"/>
      <c r="V60" s="826"/>
      <c r="W60" s="826"/>
      <c r="X60" s="790"/>
      <c r="Y60" s="790"/>
      <c r="Z60" s="790"/>
      <c r="AA60" s="790"/>
      <c r="AB60" s="826"/>
      <c r="AC60" s="826"/>
      <c r="AD60" s="790"/>
      <c r="AE60" s="688"/>
      <c r="AF60" s="688"/>
      <c r="AG60" s="688"/>
      <c r="AH60" s="688"/>
      <c r="AI60" s="794"/>
      <c r="AJ60" s="794"/>
      <c r="AK60" s="794"/>
      <c r="AL60" s="794"/>
      <c r="AM60" s="794"/>
      <c r="AN60" s="794"/>
      <c r="AO60" s="794"/>
      <c r="AP60" s="794"/>
      <c r="AQ60" s="794"/>
      <c r="AR60" s="675"/>
      <c r="AS60" s="675"/>
      <c r="AT60" s="675"/>
      <c r="AU60" s="675"/>
      <c r="AV60" s="675"/>
      <c r="AW60" s="675"/>
      <c r="AX60" s="675"/>
      <c r="AY60" s="675"/>
      <c r="AZ60" s="675"/>
      <c r="BA60" s="675"/>
      <c r="BB60" s="675"/>
      <c r="BC60" s="656"/>
      <c r="BD60" s="656"/>
      <c r="BE60" s="656"/>
      <c r="BF60" s="656"/>
      <c r="BG60" s="656"/>
      <c r="BH60" s="656"/>
      <c r="BI60" s="656"/>
      <c r="BJ60" s="656"/>
      <c r="BK60" s="656"/>
      <c r="BL60" s="656"/>
      <c r="BM60" s="656"/>
      <c r="BN60" s="656"/>
      <c r="BO60" s="656"/>
      <c r="BP60" s="656"/>
    </row>
    <row r="61" spans="1:68" ht="13.25" thickBot="1">
      <c r="A61" s="505"/>
      <c r="B61" s="754" t="s">
        <v>270</v>
      </c>
      <c r="C61" s="755"/>
      <c r="D61" s="757">
        <f>HLOOKUP(LEFT($C$4,21),Tragwerk!M14:O99,86)*100</f>
        <v>89.371662153152812</v>
      </c>
      <c r="E61" s="768" t="s">
        <v>32</v>
      </c>
      <c r="F61" s="757">
        <f>HLOOKUP(LEFT($C$4,21),Kappe!L12:N103,81)*100</f>
        <v>93.571617507585842</v>
      </c>
      <c r="G61" s="758" t="s">
        <v>32</v>
      </c>
      <c r="H61" s="756">
        <f>IF($G$5="Zweireihige Ankeranordnung",(HLOOKUP(LEFT($C$4,21),Tragwerk!R14:T99,86)*100),"")</f>
        <v>87.126820821788982</v>
      </c>
      <c r="I61" s="759" t="str">
        <f>IF($G$5="Zweireihige Ankeranordnung","[%]","")</f>
        <v>[%]</v>
      </c>
      <c r="J61" s="757">
        <f>IF($G$5="Zweireihige Ankeranordnung",(HLOOKUP(LEFT($C$4,21),Kappe!Q12:S103,81)*100),"")</f>
        <v>90.409138871892111</v>
      </c>
      <c r="K61" s="760" t="str">
        <f>IF($G$5="Zweireihige Ankeranordnung","[%]","")</f>
        <v>[%]</v>
      </c>
      <c r="L61" s="688"/>
      <c r="M61" s="790"/>
      <c r="N61" s="790"/>
      <c r="O61" s="790"/>
      <c r="P61" s="790"/>
      <c r="Q61" s="790"/>
      <c r="R61" s="790"/>
      <c r="S61" s="790"/>
      <c r="T61" s="790"/>
      <c r="U61" s="790"/>
      <c r="V61" s="826"/>
      <c r="W61" s="826"/>
      <c r="X61" s="790"/>
      <c r="Y61" s="790"/>
      <c r="Z61" s="790"/>
      <c r="AA61" s="790"/>
      <c r="AB61" s="826"/>
      <c r="AC61" s="826"/>
      <c r="AD61" s="790"/>
      <c r="AE61" s="688"/>
      <c r="AF61" s="688"/>
      <c r="AG61" s="688"/>
      <c r="AH61" s="688"/>
      <c r="AI61" s="794"/>
      <c r="AJ61" s="794"/>
      <c r="AK61" s="794"/>
      <c r="AL61" s="794"/>
      <c r="AM61" s="794"/>
      <c r="AN61" s="794"/>
      <c r="AO61" s="794"/>
      <c r="AP61" s="794"/>
      <c r="AQ61" s="794"/>
      <c r="AR61" s="675"/>
      <c r="AS61" s="675"/>
      <c r="AT61" s="675"/>
      <c r="AU61" s="675"/>
      <c r="AV61" s="675"/>
      <c r="AW61" s="675"/>
      <c r="AX61" s="675"/>
      <c r="AY61" s="675"/>
      <c r="AZ61" s="675"/>
      <c r="BA61" s="675"/>
      <c r="BB61" s="675"/>
      <c r="BC61" s="656"/>
      <c r="BD61" s="656"/>
      <c r="BE61" s="656"/>
      <c r="BF61" s="656"/>
      <c r="BG61" s="656"/>
      <c r="BH61" s="656"/>
      <c r="BI61" s="656"/>
      <c r="BJ61" s="656"/>
      <c r="BK61" s="656"/>
      <c r="BL61" s="656"/>
      <c r="BM61" s="656"/>
      <c r="BN61" s="656"/>
      <c r="BO61" s="656"/>
      <c r="BP61" s="656"/>
    </row>
    <row r="62" spans="1:68" ht="17.850000000000001">
      <c r="A62" s="505"/>
      <c r="B62" s="769"/>
      <c r="C62" s="770"/>
      <c r="D62" s="771"/>
      <c r="E62" s="36"/>
      <c r="F62" s="771"/>
      <c r="G62" s="770"/>
      <c r="H62" s="772"/>
      <c r="I62" s="772"/>
      <c r="J62" s="772"/>
      <c r="K62" s="773"/>
      <c r="L62" s="688"/>
      <c r="M62" s="790"/>
      <c r="N62" s="825" t="s">
        <v>208</v>
      </c>
      <c r="O62" s="790"/>
      <c r="P62" s="790"/>
      <c r="Q62" s="807"/>
      <c r="R62" s="790"/>
      <c r="S62" s="807"/>
      <c r="T62" s="790"/>
      <c r="U62" s="790"/>
      <c r="V62" s="826"/>
      <c r="W62" s="826"/>
      <c r="X62" s="790"/>
      <c r="Y62" s="790"/>
      <c r="Z62" s="790"/>
      <c r="AA62" s="790"/>
      <c r="AB62" s="826"/>
      <c r="AC62" s="826"/>
      <c r="AD62" s="790"/>
      <c r="AE62" s="688"/>
      <c r="AF62" s="688"/>
      <c r="AG62" s="688"/>
      <c r="AH62" s="688"/>
      <c r="AI62" s="794"/>
      <c r="AJ62" s="794"/>
      <c r="AK62" s="794"/>
      <c r="AL62" s="794"/>
      <c r="AM62" s="794"/>
      <c r="AN62" s="794"/>
      <c r="AO62" s="794"/>
      <c r="AP62" s="794"/>
      <c r="AQ62" s="794"/>
      <c r="AR62" s="675"/>
      <c r="AS62" s="675"/>
      <c r="AT62" s="675"/>
      <c r="AU62" s="675"/>
      <c r="AV62" s="675"/>
      <c r="AW62" s="675"/>
      <c r="AX62" s="675"/>
      <c r="AY62" s="675"/>
      <c r="AZ62" s="675"/>
      <c r="BA62" s="675"/>
      <c r="BB62" s="675"/>
      <c r="BC62" s="656"/>
      <c r="BD62" s="656"/>
      <c r="BE62" s="656"/>
      <c r="BF62" s="656"/>
      <c r="BG62" s="656"/>
      <c r="BH62" s="656"/>
      <c r="BI62" s="656"/>
      <c r="BJ62" s="656"/>
      <c r="BK62" s="656"/>
      <c r="BL62" s="656"/>
      <c r="BM62" s="656"/>
      <c r="BN62" s="656"/>
      <c r="BO62" s="656"/>
      <c r="BP62" s="656"/>
    </row>
    <row r="63" spans="1:68" ht="17.850000000000001">
      <c r="A63" s="505"/>
      <c r="B63" s="769"/>
      <c r="C63" s="774"/>
      <c r="D63" s="775"/>
      <c r="E63" s="775"/>
      <c r="F63" s="775"/>
      <c r="G63" s="774"/>
      <c r="H63" s="776"/>
      <c r="I63" s="776"/>
      <c r="J63" s="776"/>
      <c r="K63" s="769"/>
      <c r="L63" s="688"/>
      <c r="M63" s="789"/>
      <c r="N63" s="688"/>
      <c r="O63" s="688"/>
      <c r="P63" s="688"/>
      <c r="Q63" s="796" t="s">
        <v>210</v>
      </c>
      <c r="R63" s="796" t="s">
        <v>402</v>
      </c>
      <c r="S63" s="796" t="s">
        <v>403</v>
      </c>
      <c r="T63" s="796" t="s">
        <v>404</v>
      </c>
      <c r="U63" s="688"/>
      <c r="V63" s="792"/>
      <c r="W63" s="792"/>
      <c r="X63" s="688"/>
      <c r="Y63" s="688"/>
      <c r="Z63" s="688"/>
      <c r="AA63" s="688"/>
      <c r="AB63" s="792"/>
      <c r="AC63" s="792"/>
      <c r="AD63" s="688"/>
      <c r="AE63" s="688"/>
      <c r="AF63" s="688"/>
      <c r="AG63" s="688"/>
      <c r="AH63" s="688"/>
      <c r="AI63" s="794"/>
      <c r="AJ63" s="794"/>
      <c r="AK63" s="794"/>
      <c r="AL63" s="794"/>
      <c r="AM63" s="794"/>
      <c r="AN63" s="794"/>
      <c r="AO63" s="794"/>
      <c r="AP63" s="794"/>
      <c r="AQ63" s="794"/>
      <c r="AR63" s="675"/>
      <c r="AS63" s="675"/>
      <c r="AT63" s="675"/>
      <c r="AU63" s="675"/>
      <c r="AV63" s="675"/>
      <c r="AW63" s="675"/>
      <c r="AX63" s="675"/>
      <c r="AY63" s="675"/>
      <c r="AZ63" s="675"/>
      <c r="BA63" s="675"/>
      <c r="BB63" s="675"/>
      <c r="BC63" s="656"/>
      <c r="BD63" s="656"/>
      <c r="BE63" s="656"/>
      <c r="BF63" s="656"/>
      <c r="BG63" s="656"/>
      <c r="BH63" s="656"/>
      <c r="BI63" s="656"/>
      <c r="BJ63" s="656"/>
      <c r="BK63" s="656"/>
      <c r="BL63" s="656"/>
      <c r="BM63" s="656"/>
      <c r="BN63" s="656"/>
      <c r="BO63" s="656"/>
      <c r="BP63" s="656"/>
    </row>
    <row r="64" spans="1:68" ht="13.85">
      <c r="A64" s="505"/>
      <c r="B64" s="777"/>
      <c r="C64" s="778"/>
      <c r="D64" s="778"/>
      <c r="E64" s="778"/>
      <c r="F64" s="778"/>
      <c r="G64" s="778"/>
      <c r="H64" s="778"/>
      <c r="I64" s="778"/>
      <c r="J64" s="778"/>
      <c r="K64" s="779"/>
      <c r="L64" s="789"/>
      <c r="M64" s="789"/>
      <c r="N64" s="835" t="s">
        <v>204</v>
      </c>
      <c r="O64" s="796"/>
      <c r="P64" s="688"/>
      <c r="Q64" s="796">
        <f>IF(AND(C3="Instandsetzung Kappe",C12="≤ 1,70 m"),12,0)</f>
        <v>12</v>
      </c>
      <c r="R64" s="796">
        <f>IF(AND(C3="Instandsetzung Kappe",C12="1,70 &lt; b ≤ 2,35 m"),15,0)</f>
        <v>0</v>
      </c>
      <c r="S64" s="796">
        <f>IF(AND(C3="Instandsetzung Kappe",C12="2,35 &lt; b ≤ 2,85 m"),18,0)</f>
        <v>0</v>
      </c>
      <c r="T64" s="796">
        <f>IF(AND(C3="Instandsetzung Kappe",C12="2,85 &lt; b ≤ 3,35 m"),22,0)</f>
        <v>0</v>
      </c>
      <c r="U64" s="688"/>
      <c r="V64" s="792"/>
      <c r="W64" s="792"/>
      <c r="X64" s="688"/>
      <c r="Y64" s="688"/>
      <c r="Z64" s="688"/>
      <c r="AA64" s="688"/>
      <c r="AB64" s="792"/>
      <c r="AC64" s="792"/>
      <c r="AD64" s="688"/>
      <c r="AE64" s="688"/>
      <c r="AF64" s="688"/>
      <c r="AG64" s="688"/>
      <c r="AH64" s="688"/>
      <c r="AI64" s="794"/>
      <c r="AJ64" s="794"/>
      <c r="AK64" s="794"/>
      <c r="AL64" s="794"/>
      <c r="AM64" s="794"/>
      <c r="AN64" s="794"/>
      <c r="AO64" s="794"/>
      <c r="AP64" s="794"/>
      <c r="AQ64" s="794"/>
      <c r="AR64" s="675"/>
      <c r="AS64" s="675"/>
      <c r="AT64" s="675"/>
      <c r="AU64" s="675"/>
      <c r="AV64" s="675"/>
      <c r="AW64" s="675"/>
      <c r="AX64" s="675"/>
      <c r="AY64" s="675"/>
      <c r="AZ64" s="675"/>
      <c r="BA64" s="675"/>
      <c r="BB64" s="675"/>
      <c r="BC64" s="656"/>
      <c r="BD64" s="656"/>
      <c r="BE64" s="656"/>
      <c r="BF64" s="656"/>
      <c r="BG64" s="656"/>
      <c r="BH64" s="656"/>
      <c r="BI64" s="656"/>
      <c r="BJ64" s="656"/>
      <c r="BK64" s="656"/>
      <c r="BL64" s="656"/>
      <c r="BM64" s="656"/>
      <c r="BN64" s="656"/>
      <c r="BO64" s="656"/>
      <c r="BP64" s="656"/>
    </row>
    <row r="65" spans="1:68" ht="17.850000000000001">
      <c r="A65" s="505"/>
      <c r="B65" s="780"/>
      <c r="C65" s="769"/>
      <c r="D65" s="955"/>
      <c r="E65" s="955"/>
      <c r="F65" s="955"/>
      <c r="G65" s="955"/>
      <c r="H65" s="955"/>
      <c r="I65" s="955"/>
      <c r="J65" s="955"/>
      <c r="K65" s="955"/>
      <c r="L65" s="789"/>
      <c r="M65" s="789"/>
      <c r="N65" s="835" t="s">
        <v>205</v>
      </c>
      <c r="O65" s="835"/>
      <c r="P65" s="688"/>
      <c r="Q65" s="796">
        <f>IF(AND(C3="Neubau Kappe und Überbau",C12="≤ 1,70 m"),8,0)</f>
        <v>0</v>
      </c>
      <c r="R65" s="796">
        <f>IF(AND(C3="Neubau Kappe und Überbau",C12="1,70 &lt; b ≤ 2,35 m"),13,0)</f>
        <v>0</v>
      </c>
      <c r="S65" s="796">
        <f>IF(AND(C3="Neubau Kappe und Überbau",C12="2,35 &lt; b ≤ 2,85 m"),13,0)</f>
        <v>0</v>
      </c>
      <c r="T65" s="796">
        <f>IF(AND(C3="Neubau Kappe und Überbau",C12="2,85 &lt; b ≤ 3,35 m"),13,0)</f>
        <v>0</v>
      </c>
      <c r="U65" s="688"/>
      <c r="V65" s="792"/>
      <c r="W65" s="792"/>
      <c r="X65" s="688"/>
      <c r="Y65" s="688"/>
      <c r="Z65" s="688"/>
      <c r="AA65" s="688"/>
      <c r="AB65" s="792"/>
      <c r="AC65" s="792"/>
      <c r="AD65" s="688"/>
      <c r="AE65" s="688"/>
      <c r="AF65" s="688"/>
      <c r="AG65" s="688"/>
      <c r="AH65" s="688"/>
      <c r="AI65" s="794"/>
      <c r="AJ65" s="794"/>
      <c r="AK65" s="794"/>
      <c r="AL65" s="794"/>
      <c r="AM65" s="794"/>
      <c r="AN65" s="794"/>
      <c r="AO65" s="794"/>
      <c r="AP65" s="794"/>
      <c r="AQ65" s="794"/>
      <c r="AR65" s="675"/>
      <c r="AS65" s="675"/>
      <c r="AT65" s="675"/>
      <c r="AU65" s="675"/>
      <c r="AV65" s="675"/>
      <c r="AW65" s="675"/>
      <c r="AX65" s="675"/>
      <c r="AY65" s="675"/>
      <c r="AZ65" s="675"/>
      <c r="BA65" s="675"/>
      <c r="BB65" s="675"/>
      <c r="BC65" s="656"/>
      <c r="BD65" s="656"/>
      <c r="BE65" s="656"/>
      <c r="BF65" s="656"/>
      <c r="BG65" s="656"/>
      <c r="BH65" s="656"/>
      <c r="BI65" s="656"/>
      <c r="BJ65" s="656"/>
      <c r="BK65" s="656"/>
      <c r="BL65" s="656"/>
      <c r="BM65" s="656"/>
      <c r="BN65" s="656"/>
      <c r="BO65" s="656"/>
      <c r="BP65" s="656"/>
    </row>
    <row r="66" spans="1:68" ht="17.850000000000001">
      <c r="A66" s="505"/>
      <c r="B66" s="780"/>
      <c r="C66" s="781"/>
      <c r="D66" s="769"/>
      <c r="E66" s="769"/>
      <c r="F66" s="769"/>
      <c r="G66" s="769"/>
      <c r="H66" s="769"/>
      <c r="I66" s="769"/>
      <c r="J66" s="769"/>
      <c r="K66" s="769"/>
      <c r="L66" s="789"/>
      <c r="M66" s="789"/>
      <c r="N66" s="794" t="s">
        <v>440</v>
      </c>
      <c r="O66" s="794"/>
      <c r="P66" s="794"/>
      <c r="Q66" s="836">
        <f>IF(AND(C3="Nachträgliche Kappenverankerung",C12="≤ 1,70 m"),8,0)</f>
        <v>0</v>
      </c>
      <c r="R66" s="836">
        <f>IF(AND(C3="Nachträgliche Kappenverankerung",C12="1,70 &lt; b ≤ 2,35 m"),13,0)</f>
        <v>0</v>
      </c>
      <c r="S66" s="836">
        <f>IF(AND(C3="Nachträgliche Kappenverankerung",C12="2,35 &lt; b ≤ 2,85 m"),13,0)</f>
        <v>0</v>
      </c>
      <c r="T66" s="836">
        <f>IF(AND(C3="Nachträgliche Kappenverankerung",C12="2,85 &lt; b ≤ 3,35 m"),13,0)</f>
        <v>0</v>
      </c>
      <c r="U66" s="688"/>
      <c r="V66" s="792"/>
      <c r="W66" s="792"/>
      <c r="X66" s="688"/>
      <c r="Y66" s="688"/>
      <c r="Z66" s="688"/>
      <c r="AA66" s="688"/>
      <c r="AB66" s="792"/>
      <c r="AC66" s="792"/>
      <c r="AD66" s="688"/>
      <c r="AE66" s="688"/>
      <c r="AF66" s="688"/>
      <c r="AG66" s="688"/>
      <c r="AH66" s="688"/>
      <c r="AI66" s="794"/>
      <c r="AJ66" s="794"/>
      <c r="AK66" s="794"/>
      <c r="AL66" s="794"/>
      <c r="AM66" s="794"/>
      <c r="AN66" s="794"/>
      <c r="AO66" s="794"/>
      <c r="AP66" s="794"/>
      <c r="AQ66" s="794"/>
      <c r="AR66" s="675"/>
      <c r="AS66" s="675"/>
      <c r="AT66" s="675"/>
      <c r="AU66" s="675"/>
      <c r="AV66" s="675"/>
      <c r="AW66" s="675"/>
      <c r="AX66" s="675"/>
      <c r="AY66" s="675"/>
      <c r="AZ66" s="675"/>
      <c r="BA66" s="675"/>
      <c r="BB66" s="675"/>
      <c r="BC66" s="656"/>
      <c r="BD66" s="656"/>
      <c r="BE66" s="656"/>
      <c r="BF66" s="656"/>
      <c r="BG66" s="656"/>
      <c r="BH66" s="656"/>
      <c r="BI66" s="656"/>
      <c r="BJ66" s="656"/>
      <c r="BK66" s="656"/>
      <c r="BL66" s="656"/>
      <c r="BM66" s="656"/>
      <c r="BN66" s="656"/>
      <c r="BO66" s="656"/>
      <c r="BP66" s="656"/>
    </row>
    <row r="67" spans="1:68" ht="17.850000000000001">
      <c r="A67" s="505"/>
      <c r="B67" s="780"/>
      <c r="C67" s="781"/>
      <c r="D67" s="769"/>
      <c r="E67" s="769"/>
      <c r="F67" s="769"/>
      <c r="G67" s="769"/>
      <c r="H67" s="769"/>
      <c r="I67" s="769"/>
      <c r="J67" s="769"/>
      <c r="K67" s="769"/>
      <c r="L67" s="789"/>
      <c r="M67" s="789"/>
      <c r="N67" s="835" t="s">
        <v>418</v>
      </c>
      <c r="O67" s="835"/>
      <c r="P67" s="688"/>
      <c r="Q67" s="796">
        <v>0</v>
      </c>
      <c r="R67" s="796">
        <v>0</v>
      </c>
      <c r="S67" s="796">
        <v>0</v>
      </c>
      <c r="T67" s="796">
        <v>0</v>
      </c>
      <c r="U67" s="688"/>
      <c r="V67" s="792"/>
      <c r="W67" s="792"/>
      <c r="X67" s="688"/>
      <c r="Y67" s="688"/>
      <c r="Z67" s="688"/>
      <c r="AA67" s="688"/>
      <c r="AB67" s="792"/>
      <c r="AC67" s="792"/>
      <c r="AD67" s="688"/>
      <c r="AE67" s="688"/>
      <c r="AF67" s="688"/>
      <c r="AG67" s="688"/>
      <c r="AH67" s="688"/>
      <c r="AI67" s="794"/>
      <c r="AJ67" s="794"/>
      <c r="AK67" s="794"/>
      <c r="AL67" s="794"/>
      <c r="AM67" s="794"/>
      <c r="AN67" s="794"/>
      <c r="AO67" s="794"/>
      <c r="AP67" s="794"/>
      <c r="AQ67" s="794"/>
      <c r="AR67" s="675"/>
      <c r="AS67" s="675"/>
      <c r="AT67" s="675"/>
      <c r="AU67" s="675"/>
      <c r="AV67" s="675"/>
      <c r="AW67" s="675"/>
      <c r="AX67" s="675"/>
      <c r="AY67" s="675"/>
      <c r="AZ67" s="675"/>
      <c r="BA67" s="675"/>
      <c r="BB67" s="675"/>
      <c r="BC67" s="656"/>
      <c r="BD67" s="656"/>
      <c r="BE67" s="656"/>
      <c r="BF67" s="656"/>
      <c r="BG67" s="656"/>
      <c r="BH67" s="656"/>
      <c r="BI67" s="656"/>
      <c r="BJ67" s="656"/>
      <c r="BK67" s="656"/>
      <c r="BL67" s="656"/>
      <c r="BM67" s="656"/>
      <c r="BN67" s="656"/>
      <c r="BO67" s="656"/>
      <c r="BP67" s="656"/>
    </row>
    <row r="68" spans="1:68" ht="17.850000000000001">
      <c r="A68" s="505"/>
      <c r="B68" s="780"/>
      <c r="C68" s="781"/>
      <c r="D68" s="769"/>
      <c r="E68" s="769"/>
      <c r="F68" s="769"/>
      <c r="G68" s="769"/>
      <c r="H68" s="769"/>
      <c r="I68" s="769"/>
      <c r="J68" s="769"/>
      <c r="K68" s="769"/>
      <c r="L68" s="789"/>
      <c r="M68" s="688"/>
      <c r="N68" s="688" t="s">
        <v>209</v>
      </c>
      <c r="O68" s="688"/>
      <c r="P68" s="688"/>
      <c r="Q68" s="796">
        <f>MAX(Q64:T67)</f>
        <v>12</v>
      </c>
      <c r="R68" s="688"/>
      <c r="S68" s="792"/>
      <c r="T68" s="792"/>
      <c r="U68" s="688"/>
      <c r="V68" s="792"/>
      <c r="W68" s="792"/>
      <c r="X68" s="688"/>
      <c r="Y68" s="688"/>
      <c r="Z68" s="688"/>
      <c r="AA68" s="688"/>
      <c r="AB68" s="792"/>
      <c r="AC68" s="792"/>
      <c r="AD68" s="688"/>
      <c r="AE68" s="688"/>
      <c r="AF68" s="688"/>
      <c r="AG68" s="688"/>
      <c r="AH68" s="688"/>
      <c r="AI68" s="794"/>
      <c r="AJ68" s="794"/>
      <c r="AK68" s="794"/>
      <c r="AL68" s="794"/>
      <c r="AM68" s="794"/>
      <c r="AN68" s="794"/>
      <c r="AO68" s="794"/>
      <c r="AP68" s="794"/>
      <c r="AQ68" s="794"/>
      <c r="AR68" s="675"/>
      <c r="AS68" s="675"/>
      <c r="AT68" s="675"/>
      <c r="AU68" s="675"/>
      <c r="AV68" s="675"/>
      <c r="AW68" s="675"/>
      <c r="AX68" s="675"/>
      <c r="AY68" s="675"/>
      <c r="AZ68" s="675"/>
      <c r="BA68" s="675"/>
      <c r="BB68" s="675"/>
      <c r="BC68" s="656"/>
      <c r="BD68" s="656"/>
      <c r="BE68" s="656"/>
      <c r="BF68" s="656"/>
      <c r="BG68" s="656"/>
      <c r="BH68" s="656"/>
      <c r="BI68" s="656"/>
      <c r="BJ68" s="656"/>
      <c r="BK68" s="656"/>
      <c r="BL68" s="656"/>
      <c r="BM68" s="656"/>
      <c r="BN68" s="656"/>
      <c r="BO68" s="656"/>
      <c r="BP68" s="656"/>
    </row>
    <row r="69" spans="1:68" ht="17.850000000000001">
      <c r="A69" s="505"/>
      <c r="B69" s="782"/>
      <c r="C69" s="783"/>
      <c r="D69" s="783"/>
      <c r="E69" s="783"/>
      <c r="F69" s="783"/>
      <c r="G69" s="783"/>
      <c r="H69" s="783"/>
      <c r="I69" s="783"/>
      <c r="J69" s="783"/>
      <c r="K69" s="783"/>
      <c r="L69" s="688"/>
      <c r="M69" s="791"/>
      <c r="N69" s="791"/>
      <c r="O69" s="791"/>
      <c r="P69" s="688"/>
      <c r="Q69" s="688"/>
      <c r="R69" s="688"/>
      <c r="S69" s="688"/>
      <c r="T69" s="688"/>
      <c r="U69" s="688"/>
      <c r="V69" s="792"/>
      <c r="W69" s="792"/>
      <c r="X69" s="688"/>
      <c r="Y69" s="688"/>
      <c r="Z69" s="688"/>
      <c r="AA69" s="688"/>
      <c r="AB69" s="792"/>
      <c r="AC69" s="792"/>
      <c r="AD69" s="688"/>
      <c r="AE69" s="688"/>
      <c r="AF69" s="688"/>
      <c r="AG69" s="688"/>
      <c r="AH69" s="688"/>
      <c r="AI69" s="794"/>
      <c r="AJ69" s="794"/>
      <c r="AK69" s="794"/>
      <c r="AL69" s="794"/>
      <c r="AM69" s="794"/>
      <c r="AN69" s="794"/>
      <c r="AO69" s="794"/>
      <c r="AP69" s="794"/>
      <c r="AQ69" s="794"/>
      <c r="AR69" s="675"/>
      <c r="AS69" s="675"/>
      <c r="AT69" s="675"/>
      <c r="AU69" s="675"/>
      <c r="AV69" s="675"/>
      <c r="AW69" s="675"/>
      <c r="AX69" s="675"/>
      <c r="AY69" s="675"/>
      <c r="AZ69" s="675"/>
      <c r="BA69" s="675"/>
      <c r="BB69" s="675"/>
      <c r="BC69" s="656"/>
      <c r="BD69" s="656"/>
      <c r="BE69" s="656"/>
      <c r="BF69" s="656"/>
      <c r="BG69" s="656"/>
      <c r="BH69" s="656"/>
      <c r="BI69" s="656"/>
      <c r="BJ69" s="656"/>
      <c r="BK69" s="656"/>
      <c r="BL69" s="656"/>
      <c r="BM69" s="656"/>
      <c r="BN69" s="656"/>
      <c r="BO69" s="656"/>
      <c r="BP69" s="656"/>
    </row>
    <row r="70" spans="1:68" ht="17.850000000000001">
      <c r="A70" s="505"/>
      <c r="B70" s="777"/>
      <c r="C70" s="784"/>
      <c r="D70" s="783"/>
      <c r="E70" s="783"/>
      <c r="F70" s="783"/>
      <c r="G70" s="783"/>
      <c r="H70" s="783"/>
      <c r="I70" s="783"/>
      <c r="J70" s="783"/>
      <c r="K70" s="783"/>
      <c r="L70" s="688"/>
      <c r="M70" s="791"/>
      <c r="N70" s="791"/>
      <c r="O70" s="791"/>
      <c r="P70" s="688"/>
      <c r="Q70" s="688"/>
      <c r="R70" s="688"/>
      <c r="S70" s="688"/>
      <c r="T70" s="688"/>
      <c r="U70" s="688"/>
      <c r="V70" s="792"/>
      <c r="W70" s="792"/>
      <c r="X70" s="688"/>
      <c r="Y70" s="688"/>
      <c r="Z70" s="688"/>
      <c r="AA70" s="688"/>
      <c r="AB70" s="792"/>
      <c r="AC70" s="792"/>
      <c r="AD70" s="688"/>
      <c r="AE70" s="688"/>
      <c r="AF70" s="688"/>
      <c r="AG70" s="688"/>
      <c r="AH70" s="688"/>
      <c r="AI70" s="794"/>
      <c r="AJ70" s="794"/>
      <c r="AK70" s="794"/>
      <c r="AL70" s="794"/>
      <c r="AM70" s="794"/>
      <c r="AN70" s="794"/>
      <c r="AO70" s="794"/>
      <c r="AP70" s="794"/>
      <c r="AQ70" s="794"/>
      <c r="AR70" s="675"/>
      <c r="AS70" s="675"/>
      <c r="AT70" s="675"/>
      <c r="AU70" s="675"/>
      <c r="AV70" s="675"/>
      <c r="AW70" s="675"/>
      <c r="AX70" s="675"/>
      <c r="AY70" s="675"/>
      <c r="AZ70" s="675"/>
      <c r="BA70" s="675"/>
      <c r="BB70" s="675"/>
      <c r="BC70" s="656"/>
      <c r="BD70" s="656"/>
      <c r="BE70" s="656"/>
      <c r="BF70" s="656"/>
      <c r="BG70" s="656"/>
      <c r="BH70" s="656"/>
      <c r="BI70" s="656"/>
      <c r="BJ70" s="656"/>
      <c r="BK70" s="656"/>
      <c r="BL70" s="656"/>
      <c r="BM70" s="656"/>
      <c r="BN70" s="656"/>
      <c r="BO70" s="656"/>
      <c r="BP70" s="656"/>
    </row>
    <row r="71" spans="1:68" ht="17.850000000000001">
      <c r="A71" s="505"/>
      <c r="B71" s="778"/>
      <c r="C71" s="782"/>
      <c r="D71" s="783"/>
      <c r="E71" s="783"/>
      <c r="F71" s="783"/>
      <c r="G71" s="783"/>
      <c r="H71" s="783"/>
      <c r="I71" s="783"/>
      <c r="J71" s="783"/>
      <c r="K71" s="783"/>
      <c r="L71" s="688"/>
      <c r="M71" s="791"/>
      <c r="N71" s="791"/>
      <c r="O71" s="791"/>
      <c r="P71" s="688"/>
      <c r="Q71" s="688"/>
      <c r="R71" s="688"/>
      <c r="S71" s="688"/>
      <c r="T71" s="688"/>
      <c r="U71" s="688"/>
      <c r="V71" s="688"/>
      <c r="W71" s="688"/>
      <c r="X71" s="688"/>
      <c r="Y71" s="688"/>
      <c r="Z71" s="688"/>
      <c r="AA71" s="688"/>
      <c r="AB71" s="688"/>
      <c r="AC71" s="688"/>
      <c r="AD71" s="688"/>
      <c r="AE71" s="688"/>
      <c r="AF71" s="688"/>
      <c r="AG71" s="688"/>
      <c r="AH71" s="688"/>
      <c r="AI71" s="794"/>
      <c r="AJ71" s="794"/>
      <c r="AK71" s="794"/>
      <c r="AL71" s="794"/>
      <c r="AM71" s="794"/>
      <c r="AN71" s="794"/>
      <c r="AO71" s="794"/>
      <c r="AP71" s="794"/>
      <c r="AQ71" s="794"/>
      <c r="AR71" s="675"/>
      <c r="AS71" s="675"/>
      <c r="AT71" s="675"/>
      <c r="AU71" s="675"/>
      <c r="AV71" s="675"/>
      <c r="AW71" s="675"/>
      <c r="AX71" s="675"/>
      <c r="AY71" s="675"/>
      <c r="AZ71" s="675"/>
      <c r="BA71" s="675"/>
      <c r="BB71" s="675"/>
      <c r="BC71" s="656"/>
      <c r="BD71" s="656"/>
      <c r="BE71" s="656"/>
      <c r="BF71" s="656"/>
      <c r="BG71" s="656"/>
      <c r="BH71" s="656"/>
      <c r="BI71" s="656"/>
      <c r="BJ71" s="656"/>
      <c r="BK71" s="656"/>
      <c r="BL71" s="656"/>
      <c r="BM71" s="656"/>
      <c r="BN71" s="656"/>
      <c r="BO71" s="656"/>
      <c r="BP71" s="656"/>
    </row>
    <row r="72" spans="1:68" ht="17.850000000000001">
      <c r="A72" s="505"/>
      <c r="B72" s="785"/>
      <c r="C72" s="782"/>
      <c r="D72" s="783"/>
      <c r="E72" s="783"/>
      <c r="F72" s="783"/>
      <c r="G72" s="783"/>
      <c r="H72" s="783"/>
      <c r="I72" s="783"/>
      <c r="J72" s="783"/>
      <c r="K72" s="783"/>
      <c r="L72" s="688"/>
      <c r="M72" s="791"/>
      <c r="N72" s="791"/>
      <c r="O72" s="791"/>
      <c r="P72" s="837"/>
      <c r="Q72" s="837"/>
      <c r="R72" s="837"/>
      <c r="S72" s="837"/>
      <c r="T72" s="837"/>
      <c r="U72" s="837"/>
      <c r="V72" s="837"/>
      <c r="W72" s="837"/>
      <c r="X72" s="837"/>
      <c r="Y72" s="837"/>
      <c r="Z72" s="837"/>
      <c r="AA72" s="837"/>
      <c r="AB72" s="792"/>
      <c r="AC72" s="792"/>
      <c r="AD72" s="688"/>
      <c r="AE72" s="688"/>
      <c r="AF72" s="688"/>
      <c r="AG72" s="688"/>
      <c r="AH72" s="688"/>
      <c r="AI72" s="794"/>
      <c r="AJ72" s="794"/>
      <c r="AK72" s="794"/>
      <c r="AL72" s="794"/>
      <c r="AM72" s="794"/>
      <c r="AN72" s="794"/>
      <c r="AO72" s="794"/>
      <c r="AP72" s="794"/>
      <c r="AQ72" s="794"/>
      <c r="AR72" s="675"/>
      <c r="AS72" s="675"/>
      <c r="AT72" s="675"/>
      <c r="AU72" s="675"/>
      <c r="AV72" s="675"/>
      <c r="AW72" s="675"/>
      <c r="AX72" s="675"/>
      <c r="AY72" s="675"/>
      <c r="AZ72" s="675"/>
      <c r="BA72" s="675"/>
      <c r="BB72" s="675"/>
      <c r="BC72" s="656"/>
      <c r="BD72" s="656"/>
      <c r="BE72" s="656"/>
      <c r="BF72" s="656"/>
      <c r="BG72" s="656"/>
      <c r="BH72" s="656"/>
      <c r="BI72" s="656"/>
      <c r="BJ72" s="656"/>
      <c r="BK72" s="656"/>
      <c r="BL72" s="656"/>
      <c r="BM72" s="656"/>
      <c r="BN72" s="656"/>
      <c r="BO72" s="656"/>
      <c r="BP72" s="656"/>
    </row>
    <row r="73" spans="1:68" ht="13" customHeight="1">
      <c r="A73" s="505"/>
      <c r="B73" s="786"/>
      <c r="C73" s="783"/>
      <c r="D73" s="783"/>
      <c r="E73" s="783"/>
      <c r="F73" s="783"/>
      <c r="G73" s="783"/>
      <c r="H73" s="783"/>
      <c r="I73" s="783"/>
      <c r="J73" s="783"/>
      <c r="K73" s="783"/>
      <c r="L73" s="688"/>
      <c r="M73" s="791"/>
      <c r="N73" s="791"/>
      <c r="O73" s="791"/>
      <c r="P73" s="838"/>
      <c r="Q73" s="838"/>
      <c r="R73" s="838"/>
      <c r="S73" s="838"/>
      <c r="T73" s="838"/>
      <c r="U73" s="838"/>
      <c r="V73" s="838"/>
      <c r="W73" s="838"/>
      <c r="X73" s="838"/>
      <c r="Y73" s="838"/>
      <c r="Z73" s="838"/>
      <c r="AA73" s="838"/>
      <c r="AB73" s="792"/>
      <c r="AC73" s="792"/>
      <c r="AD73" s="688"/>
      <c r="AE73" s="688"/>
      <c r="AF73" s="688"/>
      <c r="AG73" s="688"/>
      <c r="AH73" s="688"/>
      <c r="AI73" s="794"/>
      <c r="AJ73" s="794"/>
      <c r="AK73" s="794"/>
      <c r="AL73" s="794"/>
      <c r="AM73" s="794"/>
      <c r="AN73" s="794"/>
      <c r="AO73" s="794"/>
      <c r="AP73" s="794"/>
      <c r="AQ73" s="794"/>
      <c r="AR73" s="675"/>
      <c r="AS73" s="675"/>
      <c r="AT73" s="675"/>
      <c r="AU73" s="675"/>
      <c r="AV73" s="675"/>
      <c r="AW73" s="675"/>
      <c r="AX73" s="675"/>
      <c r="AY73" s="675"/>
      <c r="AZ73" s="675"/>
      <c r="BA73" s="675"/>
      <c r="BB73" s="675"/>
      <c r="BC73" s="656"/>
      <c r="BD73" s="656"/>
      <c r="BE73" s="656"/>
      <c r="BF73" s="656"/>
      <c r="BG73" s="656"/>
      <c r="BH73" s="656"/>
      <c r="BI73" s="656"/>
      <c r="BJ73" s="656"/>
      <c r="BK73" s="656"/>
      <c r="BL73" s="656"/>
      <c r="BM73" s="656"/>
      <c r="BN73" s="656"/>
      <c r="BO73" s="656"/>
      <c r="BP73" s="656"/>
    </row>
    <row r="74" spans="1:68" s="245" customFormat="1" ht="13" customHeight="1">
      <c r="A74" s="505"/>
      <c r="B74" s="783"/>
      <c r="C74" s="783"/>
      <c r="D74" s="783"/>
      <c r="E74" s="783"/>
      <c r="F74" s="783"/>
      <c r="G74" s="783"/>
      <c r="H74" s="783"/>
      <c r="I74" s="783"/>
      <c r="J74" s="783"/>
      <c r="K74" s="783"/>
      <c r="L74" s="688"/>
      <c r="M74" s="688"/>
      <c r="N74" s="807" t="s">
        <v>464</v>
      </c>
      <c r="O74" s="790"/>
      <c r="P74" s="796" t="s">
        <v>1176</v>
      </c>
      <c r="Q74" s="790"/>
      <c r="R74" s="790"/>
      <c r="S74" s="807" t="s">
        <v>469</v>
      </c>
      <c r="T74" s="796" t="s">
        <v>600</v>
      </c>
      <c r="U74" s="790"/>
      <c r="V74" s="839" t="s">
        <v>598</v>
      </c>
      <c r="W74" s="838"/>
      <c r="X74" s="840"/>
      <c r="Y74" s="838"/>
      <c r="Z74" s="838"/>
      <c r="AA74" s="838"/>
      <c r="AB74" s="792"/>
      <c r="AC74" s="792"/>
      <c r="AD74" s="688"/>
      <c r="AE74" s="688"/>
      <c r="AF74" s="688"/>
      <c r="AG74" s="688"/>
      <c r="AH74" s="688"/>
      <c r="AI74" s="790"/>
      <c r="AJ74" s="790"/>
      <c r="AK74" s="790"/>
      <c r="AL74" s="790"/>
      <c r="AM74" s="790"/>
      <c r="AN74" s="790"/>
      <c r="AO74" s="790"/>
      <c r="AP74" s="790"/>
      <c r="AQ74" s="790"/>
      <c r="AR74" s="674"/>
      <c r="AS74" s="674"/>
      <c r="AT74" s="674"/>
      <c r="AU74" s="674"/>
      <c r="AV74" s="674"/>
      <c r="AW74" s="674"/>
      <c r="AX74" s="674"/>
      <c r="AY74" s="674"/>
      <c r="AZ74" s="674"/>
      <c r="BA74" s="674"/>
      <c r="BB74" s="674"/>
      <c r="BC74" s="637"/>
      <c r="BD74" s="637"/>
      <c r="BE74" s="637"/>
      <c r="BF74" s="637"/>
      <c r="BG74" s="637"/>
      <c r="BH74" s="637"/>
      <c r="BI74" s="637"/>
      <c r="BJ74" s="637"/>
      <c r="BK74" s="637"/>
      <c r="BL74" s="637"/>
      <c r="BM74" s="637"/>
      <c r="BN74" s="637"/>
      <c r="BO74" s="637"/>
      <c r="BP74" s="637"/>
    </row>
    <row r="75" spans="1:68" s="245" customFormat="1" ht="13" customHeight="1">
      <c r="A75" s="505"/>
      <c r="B75" s="783"/>
      <c r="C75" s="783"/>
      <c r="D75" s="783"/>
      <c r="E75" s="783"/>
      <c r="F75" s="783"/>
      <c r="G75" s="783"/>
      <c r="H75" s="783"/>
      <c r="I75" s="783"/>
      <c r="J75" s="783"/>
      <c r="K75" s="783"/>
      <c r="L75" s="688"/>
      <c r="M75" s="688"/>
      <c r="N75" s="807">
        <v>16</v>
      </c>
      <c r="O75" s="790"/>
      <c r="P75" s="796">
        <f>IF(M77&lt;180,M77,)</f>
        <v>0</v>
      </c>
      <c r="Q75" s="956" t="str">
        <f>"projektspez. HCC-Art.-Set: HIT-C-R M16x"&amp;(P75)</f>
        <v>projektspez. HCC-Art.-Set: HIT-C-R M16x0</v>
      </c>
      <c r="R75" s="956"/>
      <c r="S75" s="807"/>
      <c r="T75" s="796"/>
      <c r="U75" s="790"/>
      <c r="V75" s="838"/>
      <c r="W75" s="838"/>
      <c r="X75" s="838"/>
      <c r="Y75" s="838"/>
      <c r="Z75" s="838"/>
      <c r="AA75" s="838"/>
      <c r="AB75" s="792"/>
      <c r="AC75" s="792"/>
      <c r="AD75" s="688"/>
      <c r="AE75" s="688"/>
      <c r="AF75" s="688"/>
      <c r="AG75" s="688"/>
      <c r="AH75" s="688"/>
      <c r="AI75" s="790"/>
      <c r="AJ75" s="790"/>
      <c r="AK75" s="790"/>
      <c r="AL75" s="790"/>
      <c r="AM75" s="790"/>
      <c r="AN75" s="790"/>
      <c r="AO75" s="790"/>
      <c r="AP75" s="790"/>
      <c r="AQ75" s="790"/>
      <c r="AR75" s="674"/>
      <c r="AS75" s="674"/>
      <c r="AT75" s="674"/>
      <c r="AU75" s="674"/>
      <c r="AV75" s="674"/>
      <c r="AW75" s="674"/>
      <c r="AX75" s="674"/>
      <c r="AY75" s="674"/>
      <c r="AZ75" s="674"/>
      <c r="BA75" s="674"/>
      <c r="BB75" s="674"/>
      <c r="BC75" s="637"/>
      <c r="BD75" s="637"/>
      <c r="BE75" s="637"/>
      <c r="BF75" s="637"/>
      <c r="BG75" s="637"/>
      <c r="BH75" s="637"/>
      <c r="BI75" s="637"/>
      <c r="BJ75" s="637"/>
      <c r="BK75" s="637"/>
      <c r="BL75" s="637"/>
      <c r="BM75" s="637"/>
      <c r="BN75" s="637"/>
      <c r="BO75" s="637"/>
      <c r="BP75" s="637"/>
    </row>
    <row r="76" spans="1:68" s="245" customFormat="1" ht="13" customHeight="1">
      <c r="A76" s="505"/>
      <c r="B76" s="783"/>
      <c r="C76" s="783"/>
      <c r="D76" s="783"/>
      <c r="E76" s="783"/>
      <c r="F76" s="783"/>
      <c r="G76" s="783"/>
      <c r="H76" s="783"/>
      <c r="I76" s="783"/>
      <c r="J76" s="783"/>
      <c r="K76" s="783"/>
      <c r="L76" s="688"/>
      <c r="M76" s="796" t="s">
        <v>451</v>
      </c>
      <c r="N76" s="807">
        <v>16</v>
      </c>
      <c r="O76" s="790"/>
      <c r="P76" s="826">
        <v>200</v>
      </c>
      <c r="Q76" s="790" t="s">
        <v>584</v>
      </c>
      <c r="R76" s="790"/>
      <c r="S76" s="841">
        <f>IF(M77&lt;180,M77,IF(OR(M77&lt;P76,M77=P76),P76,IF(OR(M77&lt;P77,M77=P77),P77,IF(OR(M77&lt;P78,M77=P78),P78,M77))))</f>
        <v>300</v>
      </c>
      <c r="T76" s="842" t="str">
        <f>IF(M79=16,VLOOKUP(S76,P75:Q79,2),IF(M79=20,VLOOKUP(S80,P80:Q86,2),IF(M79=24,VLOOKUP(S88,P87:Q92,2))))</f>
        <v>HCC-Art.-Set 2192327: HIT-V-R M24x260</v>
      </c>
      <c r="U76" s="790"/>
      <c r="V76" s="843">
        <f>IF(M79=16,VLOOKUP(S76,P75:P79,1),IF(M79=20,VLOOKUP(S80,P80:P86,1),IF(M79=24,VLOOKUP(S88,P87:P92,1))))</f>
        <v>260</v>
      </c>
      <c r="W76" s="838"/>
      <c r="X76" s="838"/>
      <c r="Y76" s="838"/>
      <c r="Z76" s="838"/>
      <c r="AA76" s="838"/>
      <c r="AB76" s="792"/>
      <c r="AC76" s="792"/>
      <c r="AD76" s="688"/>
      <c r="AE76" s="688"/>
      <c r="AF76" s="688"/>
      <c r="AG76" s="688"/>
      <c r="AH76" s="688"/>
      <c r="AI76" s="790"/>
      <c r="AJ76" s="790"/>
      <c r="AK76" s="790"/>
      <c r="AL76" s="790"/>
      <c r="AM76" s="790"/>
      <c r="AN76" s="790"/>
      <c r="AO76" s="790"/>
      <c r="AP76" s="790"/>
      <c r="AQ76" s="790"/>
      <c r="AR76" s="674"/>
      <c r="AS76" s="674"/>
      <c r="AT76" s="674"/>
      <c r="AU76" s="674"/>
      <c r="AV76" s="674"/>
      <c r="AW76" s="674"/>
      <c r="AX76" s="674"/>
      <c r="AY76" s="674"/>
      <c r="AZ76" s="674"/>
      <c r="BA76" s="674"/>
      <c r="BB76" s="674"/>
      <c r="BC76" s="637"/>
      <c r="BD76" s="637"/>
      <c r="BE76" s="637"/>
      <c r="BF76" s="637"/>
      <c r="BG76" s="637"/>
      <c r="BH76" s="637"/>
      <c r="BI76" s="637"/>
      <c r="BJ76" s="637"/>
      <c r="BK76" s="637"/>
      <c r="BL76" s="637"/>
      <c r="BM76" s="637"/>
      <c r="BN76" s="637"/>
      <c r="BO76" s="637"/>
      <c r="BP76" s="637"/>
    </row>
    <row r="77" spans="1:68" s="245" customFormat="1" ht="13" customHeight="1">
      <c r="A77" s="505"/>
      <c r="B77" s="783"/>
      <c r="C77" s="783"/>
      <c r="D77" s="783"/>
      <c r="E77" s="783"/>
      <c r="F77" s="783"/>
      <c r="G77" s="783"/>
      <c r="H77" s="783"/>
      <c r="I77" s="783"/>
      <c r="J77" s="783"/>
      <c r="K77" s="783"/>
      <c r="L77" s="688"/>
      <c r="M77" s="815">
        <f>C22</f>
        <v>243</v>
      </c>
      <c r="N77" s="826">
        <v>16</v>
      </c>
      <c r="O77" s="790"/>
      <c r="P77" s="843">
        <v>240</v>
      </c>
      <c r="Q77" s="844" t="s">
        <v>585</v>
      </c>
      <c r="R77" s="790"/>
      <c r="S77" s="845"/>
      <c r="T77" s="838"/>
      <c r="U77" s="790"/>
      <c r="V77" s="838"/>
      <c r="W77" s="838"/>
      <c r="X77" s="838"/>
      <c r="Y77" s="838"/>
      <c r="Z77" s="838"/>
      <c r="AA77" s="838"/>
      <c r="AB77" s="792"/>
      <c r="AC77" s="792"/>
      <c r="AD77" s="688"/>
      <c r="AE77" s="688"/>
      <c r="AF77" s="688"/>
      <c r="AG77" s="688"/>
      <c r="AH77" s="688"/>
      <c r="AI77" s="790"/>
      <c r="AJ77" s="790"/>
      <c r="AK77" s="790"/>
      <c r="AL77" s="790"/>
      <c r="AM77" s="790"/>
      <c r="AN77" s="790"/>
      <c r="AO77" s="790"/>
      <c r="AP77" s="790"/>
      <c r="AQ77" s="790"/>
      <c r="AR77" s="674"/>
      <c r="AS77" s="674"/>
      <c r="AT77" s="674"/>
      <c r="AU77" s="674"/>
      <c r="AV77" s="674"/>
      <c r="AW77" s="674"/>
      <c r="AX77" s="674"/>
      <c r="AY77" s="674"/>
      <c r="AZ77" s="674"/>
      <c r="BA77" s="674"/>
      <c r="BB77" s="674"/>
      <c r="BC77" s="637"/>
      <c r="BD77" s="637"/>
      <c r="BE77" s="637"/>
      <c r="BF77" s="637"/>
      <c r="BG77" s="637"/>
      <c r="BH77" s="637"/>
      <c r="BI77" s="637"/>
      <c r="BJ77" s="637"/>
      <c r="BK77" s="637"/>
      <c r="BL77" s="637"/>
      <c r="BM77" s="637"/>
      <c r="BN77" s="637"/>
      <c r="BO77" s="637"/>
      <c r="BP77" s="637"/>
    </row>
    <row r="78" spans="1:68" s="245" customFormat="1" ht="13" customHeight="1">
      <c r="A78" s="505"/>
      <c r="B78" s="783"/>
      <c r="C78" s="783"/>
      <c r="D78" s="783"/>
      <c r="E78" s="783"/>
      <c r="F78" s="783"/>
      <c r="G78" s="783"/>
      <c r="H78" s="783"/>
      <c r="I78" s="783"/>
      <c r="J78" s="783"/>
      <c r="K78" s="783"/>
      <c r="L78" s="688"/>
      <c r="M78" s="805" t="s">
        <v>466</v>
      </c>
      <c r="N78" s="846">
        <v>16</v>
      </c>
      <c r="O78" s="823"/>
      <c r="P78" s="847">
        <v>300</v>
      </c>
      <c r="Q78" s="848" t="s">
        <v>586</v>
      </c>
      <c r="R78" s="849"/>
      <c r="S78" s="850"/>
      <c r="T78" s="851" t="s">
        <v>1177</v>
      </c>
      <c r="U78" s="790"/>
      <c r="V78" s="835" t="s">
        <v>1178</v>
      </c>
      <c r="W78" s="838"/>
      <c r="X78" s="838"/>
      <c r="Y78" s="838"/>
      <c r="Z78" s="838"/>
      <c r="AA78" s="838"/>
      <c r="AB78" s="792"/>
      <c r="AC78" s="792"/>
      <c r="AD78" s="688"/>
      <c r="AE78" s="688"/>
      <c r="AF78" s="688"/>
      <c r="AG78" s="688"/>
      <c r="AH78" s="688"/>
      <c r="AI78" s="790"/>
      <c r="AJ78" s="790"/>
      <c r="AK78" s="790"/>
      <c r="AL78" s="790"/>
      <c r="AM78" s="790"/>
      <c r="AN78" s="790"/>
      <c r="AO78" s="790"/>
      <c r="AP78" s="790"/>
      <c r="AQ78" s="790"/>
      <c r="AR78" s="674"/>
      <c r="AS78" s="674"/>
      <c r="AT78" s="674"/>
      <c r="AU78" s="674"/>
      <c r="AV78" s="674"/>
      <c r="AW78" s="674"/>
      <c r="AX78" s="674"/>
      <c r="AY78" s="674"/>
      <c r="AZ78" s="674"/>
      <c r="BA78" s="674"/>
      <c r="BB78" s="674"/>
      <c r="BC78" s="637"/>
      <c r="BD78" s="637"/>
      <c r="BE78" s="637"/>
      <c r="BF78" s="637"/>
      <c r="BG78" s="637"/>
      <c r="BH78" s="637"/>
      <c r="BI78" s="637"/>
      <c r="BJ78" s="637"/>
      <c r="BK78" s="637"/>
      <c r="BL78" s="637"/>
      <c r="BM78" s="637"/>
      <c r="BN78" s="637"/>
      <c r="BO78" s="637"/>
      <c r="BP78" s="637"/>
    </row>
    <row r="79" spans="1:68" s="245" customFormat="1" ht="13" customHeight="1">
      <c r="A79" s="505"/>
      <c r="B79" s="783"/>
      <c r="C79" s="783"/>
      <c r="D79" s="783"/>
      <c r="E79" s="783"/>
      <c r="F79" s="783"/>
      <c r="G79" s="783"/>
      <c r="H79" s="783"/>
      <c r="I79" s="783"/>
      <c r="J79" s="783"/>
      <c r="K79" s="783"/>
      <c r="L79" s="688"/>
      <c r="M79" s="805">
        <f>AE50</f>
        <v>24</v>
      </c>
      <c r="N79" s="846">
        <v>16</v>
      </c>
      <c r="O79" s="823"/>
      <c r="P79" s="852">
        <f>IF(M77&gt;P78,M77,)</f>
        <v>0</v>
      </c>
      <c r="Q79" s="853" t="str">
        <f>"projektspez. HCC-Art.-Set: HIT-C-R M16x"&amp;(P79)</f>
        <v>projektspez. HCC-Art.-Set: HIT-C-R M16x0</v>
      </c>
      <c r="R79" s="853"/>
      <c r="S79" s="850"/>
      <c r="T79" s="854" t="str">
        <f>IF(AD32=1,T83,T76)</f>
        <v>projektspez. HCC-Art.-Set: HIT-C-R M24x243</v>
      </c>
      <c r="U79" s="790"/>
      <c r="V79" s="855">
        <f>V76-C20-C21-O105</f>
        <v>157</v>
      </c>
      <c r="W79" s="838"/>
      <c r="X79" s="838"/>
      <c r="Y79" s="838"/>
      <c r="Z79" s="838"/>
      <c r="AA79" s="838"/>
      <c r="AB79" s="792"/>
      <c r="AC79" s="792"/>
      <c r="AD79" s="688"/>
      <c r="AE79" s="688"/>
      <c r="AF79" s="688"/>
      <c r="AG79" s="688"/>
      <c r="AH79" s="688"/>
      <c r="AI79" s="790"/>
      <c r="AJ79" s="790"/>
      <c r="AK79" s="790"/>
      <c r="AL79" s="790"/>
      <c r="AM79" s="790"/>
      <c r="AN79" s="790"/>
      <c r="AO79" s="790"/>
      <c r="AP79" s="790"/>
      <c r="AQ79" s="790"/>
      <c r="AR79" s="674"/>
      <c r="AS79" s="674"/>
      <c r="AT79" s="674"/>
      <c r="AU79" s="674"/>
      <c r="AV79" s="674"/>
      <c r="AW79" s="674"/>
      <c r="AX79" s="674"/>
      <c r="AY79" s="674"/>
      <c r="AZ79" s="674"/>
      <c r="BA79" s="674"/>
      <c r="BB79" s="674"/>
      <c r="BC79" s="637"/>
      <c r="BD79" s="637"/>
      <c r="BE79" s="637"/>
      <c r="BF79" s="637"/>
      <c r="BG79" s="637"/>
      <c r="BH79" s="637"/>
      <c r="BI79" s="637"/>
      <c r="BJ79" s="637"/>
      <c r="BK79" s="637"/>
      <c r="BL79" s="637"/>
      <c r="BM79" s="637"/>
      <c r="BN79" s="637"/>
      <c r="BO79" s="637"/>
      <c r="BP79" s="637"/>
    </row>
    <row r="80" spans="1:68" s="245" customFormat="1" ht="13" customHeight="1">
      <c r="A80" s="505"/>
      <c r="B80" s="783"/>
      <c r="C80" s="783"/>
      <c r="D80" s="783"/>
      <c r="E80" s="783"/>
      <c r="F80" s="783"/>
      <c r="G80" s="783"/>
      <c r="H80" s="783"/>
      <c r="I80" s="783"/>
      <c r="J80" s="783"/>
      <c r="K80" s="783"/>
      <c r="L80" s="688"/>
      <c r="M80" s="823"/>
      <c r="N80" s="846">
        <v>20</v>
      </c>
      <c r="O80" s="823"/>
      <c r="P80" s="852">
        <f>IF(M77&lt;240,M77,)</f>
        <v>0</v>
      </c>
      <c r="Q80" s="954" t="str">
        <f>"projektspez. HCC-Art.-Set: HIT-C-R M20x"&amp;(P80)</f>
        <v>projektspez. HCC-Art.-Set: HIT-C-R M20x0</v>
      </c>
      <c r="R80" s="954"/>
      <c r="S80" s="805">
        <f>IF(M77&lt;240,M77,IF(OR(M77&lt;P81,M77=P81),P81,IF(OR(M77&lt;P82,M77=P82),P82,IF(OR(M77&lt;P83,M77=P83),P83,IF(OR(M77&lt;P84,M77=P84),P84,IF(OR(M77&lt;P85,M77=P85),P85,M77))))))</f>
        <v>260</v>
      </c>
      <c r="T80" s="849"/>
      <c r="U80" s="790"/>
      <c r="V80" s="838"/>
      <c r="W80" s="838"/>
      <c r="X80" s="838"/>
      <c r="Y80" s="838"/>
      <c r="Z80" s="838"/>
      <c r="AA80" s="838"/>
      <c r="AB80" s="792"/>
      <c r="AC80" s="792"/>
      <c r="AD80" s="688"/>
      <c r="AE80" s="688"/>
      <c r="AF80" s="688"/>
      <c r="AG80" s="688"/>
      <c r="AH80" s="688"/>
      <c r="AI80" s="790"/>
      <c r="AJ80" s="790"/>
      <c r="AK80" s="790"/>
      <c r="AL80" s="790"/>
      <c r="AM80" s="790"/>
      <c r="AN80" s="790"/>
      <c r="AO80" s="790"/>
      <c r="AP80" s="790"/>
      <c r="AQ80" s="790"/>
      <c r="AR80" s="674"/>
      <c r="AS80" s="674"/>
      <c r="AT80" s="674"/>
      <c r="AU80" s="674"/>
      <c r="AV80" s="674"/>
      <c r="AW80" s="674"/>
      <c r="AX80" s="674"/>
      <c r="AY80" s="674"/>
      <c r="AZ80" s="674"/>
      <c r="BA80" s="674"/>
      <c r="BB80" s="674"/>
      <c r="BC80" s="637"/>
      <c r="BD80" s="637"/>
      <c r="BE80" s="637"/>
      <c r="BF80" s="637"/>
      <c r="BG80" s="637"/>
      <c r="BH80" s="637"/>
      <c r="BI80" s="637"/>
      <c r="BJ80" s="637"/>
      <c r="BK80" s="637"/>
      <c r="BL80" s="637"/>
      <c r="BM80" s="637"/>
      <c r="BN80" s="637"/>
      <c r="BO80" s="637"/>
      <c r="BP80" s="637"/>
    </row>
    <row r="81" spans="2:68" s="245" customFormat="1" ht="13" customHeight="1">
      <c r="B81" s="786"/>
      <c r="C81" s="786"/>
      <c r="D81" s="786"/>
      <c r="E81" s="786"/>
      <c r="F81" s="786"/>
      <c r="G81" s="786"/>
      <c r="H81" s="786"/>
      <c r="I81" s="786"/>
      <c r="J81" s="786"/>
      <c r="K81" s="786"/>
      <c r="L81" s="688"/>
      <c r="M81" s="856"/>
      <c r="N81" s="846">
        <v>20</v>
      </c>
      <c r="O81" s="823"/>
      <c r="P81" s="847">
        <v>260</v>
      </c>
      <c r="Q81" s="848" t="s">
        <v>587</v>
      </c>
      <c r="R81" s="849"/>
      <c r="S81" s="857"/>
      <c r="T81" s="849"/>
      <c r="U81" s="790"/>
      <c r="V81" s="835" t="s">
        <v>599</v>
      </c>
      <c r="W81" s="838"/>
      <c r="X81" s="838"/>
      <c r="Y81" s="838"/>
      <c r="Z81" s="838"/>
      <c r="AA81" s="838"/>
      <c r="AB81" s="792"/>
      <c r="AC81" s="792"/>
      <c r="AD81" s="688"/>
      <c r="AE81" s="688"/>
      <c r="AF81" s="688"/>
      <c r="AG81" s="688"/>
      <c r="AH81" s="688"/>
      <c r="AI81" s="790"/>
      <c r="AJ81" s="790"/>
      <c r="AK81" s="790"/>
      <c r="AL81" s="790"/>
      <c r="AM81" s="790"/>
      <c r="AN81" s="790"/>
      <c r="AO81" s="790"/>
      <c r="AP81" s="790"/>
      <c r="AQ81" s="790"/>
      <c r="AR81" s="674"/>
      <c r="AS81" s="674"/>
      <c r="AT81" s="674"/>
      <c r="AU81" s="674"/>
      <c r="AV81" s="674"/>
      <c r="AW81" s="674"/>
      <c r="AX81" s="674"/>
      <c r="AY81" s="674"/>
      <c r="AZ81" s="674"/>
      <c r="BA81" s="674"/>
      <c r="BB81" s="674"/>
      <c r="BC81" s="637"/>
      <c r="BD81" s="637"/>
      <c r="BE81" s="637"/>
      <c r="BF81" s="637"/>
      <c r="BG81" s="637"/>
      <c r="BH81" s="637"/>
      <c r="BI81" s="637"/>
      <c r="BJ81" s="637"/>
      <c r="BK81" s="637"/>
      <c r="BL81" s="637"/>
      <c r="BM81" s="637"/>
      <c r="BN81" s="637"/>
      <c r="BO81" s="637"/>
      <c r="BP81" s="637"/>
    </row>
    <row r="82" spans="2:68" s="245" customFormat="1" ht="13" customHeight="1">
      <c r="B82" s="786"/>
      <c r="C82" s="786"/>
      <c r="D82" s="786"/>
      <c r="E82" s="786"/>
      <c r="F82" s="786"/>
      <c r="G82" s="786"/>
      <c r="H82" s="786"/>
      <c r="I82" s="786"/>
      <c r="J82" s="786"/>
      <c r="K82" s="786"/>
      <c r="L82" s="688"/>
      <c r="M82" s="789"/>
      <c r="N82" s="846">
        <v>20</v>
      </c>
      <c r="O82" s="823"/>
      <c r="P82" s="847">
        <v>300</v>
      </c>
      <c r="Q82" s="848" t="s">
        <v>588</v>
      </c>
      <c r="R82" s="849"/>
      <c r="S82" s="857"/>
      <c r="T82" s="858" t="s">
        <v>597</v>
      </c>
      <c r="U82" s="790"/>
      <c r="V82" s="855" t="str">
        <f>IF(AD32=1,"nicht ok","ok")</f>
        <v>nicht ok</v>
      </c>
      <c r="W82" s="838"/>
      <c r="X82" s="838"/>
      <c r="Y82" s="838"/>
      <c r="Z82" s="838"/>
      <c r="AA82" s="838"/>
      <c r="AB82" s="792"/>
      <c r="AC82" s="792"/>
      <c r="AD82" s="688"/>
      <c r="AE82" s="688"/>
      <c r="AF82" s="688"/>
      <c r="AG82" s="688"/>
      <c r="AH82" s="688"/>
      <c r="AI82" s="790"/>
      <c r="AJ82" s="790"/>
      <c r="AK82" s="790"/>
      <c r="AL82" s="790"/>
      <c r="AM82" s="790"/>
      <c r="AN82" s="790"/>
      <c r="AO82" s="790"/>
      <c r="AP82" s="790"/>
      <c r="AQ82" s="790"/>
      <c r="AR82" s="674"/>
      <c r="AS82" s="674"/>
      <c r="AT82" s="674"/>
      <c r="AU82" s="674"/>
      <c r="AV82" s="674"/>
      <c r="AW82" s="674"/>
      <c r="AX82" s="674"/>
      <c r="AY82" s="674"/>
      <c r="AZ82" s="674"/>
      <c r="BA82" s="674"/>
      <c r="BB82" s="674"/>
      <c r="BC82" s="637"/>
      <c r="BD82" s="637"/>
      <c r="BE82" s="637"/>
      <c r="BF82" s="637"/>
      <c r="BG82" s="637"/>
      <c r="BH82" s="637"/>
      <c r="BI82" s="637"/>
      <c r="BJ82" s="637"/>
      <c r="BK82" s="637"/>
      <c r="BL82" s="637"/>
      <c r="BM82" s="637"/>
      <c r="BN82" s="637"/>
      <c r="BO82" s="637"/>
      <c r="BP82" s="637"/>
    </row>
    <row r="83" spans="2:68" s="245" customFormat="1" ht="13" customHeight="1">
      <c r="B83" s="786"/>
      <c r="C83" s="786"/>
      <c r="D83" s="786"/>
      <c r="E83" s="786"/>
      <c r="F83" s="786"/>
      <c r="G83" s="786"/>
      <c r="H83" s="786"/>
      <c r="I83" s="786"/>
      <c r="J83" s="786"/>
      <c r="K83" s="786"/>
      <c r="L83" s="688"/>
      <c r="M83" s="823"/>
      <c r="N83" s="846">
        <v>20</v>
      </c>
      <c r="O83" s="823"/>
      <c r="P83" s="847">
        <v>330</v>
      </c>
      <c r="Q83" s="848" t="s">
        <v>589</v>
      </c>
      <c r="R83" s="849"/>
      <c r="S83" s="859"/>
      <c r="T83" s="858" t="str">
        <f>"projektspez. HCC-Art.-Set: HIT-C-R M"&amp;M79&amp;"x"&amp;M77</f>
        <v>projektspez. HCC-Art.-Set: HIT-C-R M24x243</v>
      </c>
      <c r="U83" s="790"/>
      <c r="V83" s="838"/>
      <c r="W83" s="838"/>
      <c r="X83" s="838"/>
      <c r="Y83" s="838"/>
      <c r="Z83" s="838"/>
      <c r="AA83" s="838"/>
      <c r="AB83" s="792"/>
      <c r="AC83" s="792"/>
      <c r="AD83" s="688"/>
      <c r="AE83" s="688"/>
      <c r="AF83" s="688"/>
      <c r="AG83" s="688"/>
      <c r="AH83" s="688"/>
      <c r="AI83" s="790"/>
      <c r="AJ83" s="790"/>
      <c r="AK83" s="790"/>
      <c r="AL83" s="790"/>
      <c r="AM83" s="790"/>
      <c r="AN83" s="790"/>
      <c r="AO83" s="790"/>
      <c r="AP83" s="790"/>
      <c r="AQ83" s="790"/>
      <c r="AR83" s="674"/>
      <c r="AS83" s="674"/>
      <c r="AT83" s="674"/>
      <c r="AU83" s="674"/>
      <c r="AV83" s="674"/>
      <c r="AW83" s="674"/>
      <c r="AX83" s="674"/>
      <c r="AY83" s="674"/>
      <c r="AZ83" s="674"/>
      <c r="BA83" s="674"/>
      <c r="BB83" s="674"/>
      <c r="BC83" s="637"/>
      <c r="BD83" s="637"/>
      <c r="BE83" s="637"/>
      <c r="BF83" s="637"/>
      <c r="BG83" s="637"/>
      <c r="BH83" s="637"/>
      <c r="BI83" s="637"/>
      <c r="BJ83" s="637"/>
      <c r="BK83" s="637"/>
      <c r="BL83" s="637"/>
      <c r="BM83" s="637"/>
      <c r="BN83" s="637"/>
      <c r="BO83" s="637"/>
      <c r="BP83" s="637"/>
    </row>
    <row r="84" spans="2:68" s="245" customFormat="1" ht="13" customHeight="1">
      <c r="B84" s="786"/>
      <c r="C84" s="786"/>
      <c r="D84" s="786"/>
      <c r="E84" s="786"/>
      <c r="F84" s="786"/>
      <c r="G84" s="786"/>
      <c r="H84" s="786"/>
      <c r="I84" s="786"/>
      <c r="J84" s="786"/>
      <c r="K84" s="786"/>
      <c r="L84" s="688"/>
      <c r="M84" s="823"/>
      <c r="N84" s="846">
        <v>20</v>
      </c>
      <c r="O84" s="823"/>
      <c r="P84" s="847">
        <v>350</v>
      </c>
      <c r="Q84" s="848" t="s">
        <v>590</v>
      </c>
      <c r="R84" s="849"/>
      <c r="S84" s="857"/>
      <c r="T84" s="849"/>
      <c r="U84" s="790"/>
      <c r="V84" s="838"/>
      <c r="W84" s="838"/>
      <c r="X84" s="838"/>
      <c r="Y84" s="838"/>
      <c r="Z84" s="838"/>
      <c r="AA84" s="838"/>
      <c r="AB84" s="792"/>
      <c r="AC84" s="792"/>
      <c r="AD84" s="688"/>
      <c r="AE84" s="688"/>
      <c r="AF84" s="688"/>
      <c r="AG84" s="688"/>
      <c r="AH84" s="688"/>
      <c r="AI84" s="790"/>
      <c r="AJ84" s="790"/>
      <c r="AK84" s="790"/>
      <c r="AL84" s="790"/>
      <c r="AM84" s="790"/>
      <c r="AN84" s="790"/>
      <c r="AO84" s="790"/>
      <c r="AP84" s="790"/>
      <c r="AQ84" s="790"/>
      <c r="AR84" s="674"/>
      <c r="AS84" s="674"/>
      <c r="AT84" s="674"/>
      <c r="AU84" s="674"/>
      <c r="AV84" s="674"/>
      <c r="AW84" s="674"/>
      <c r="AX84" s="674"/>
      <c r="AY84" s="674"/>
      <c r="AZ84" s="674"/>
      <c r="BA84" s="674"/>
      <c r="BB84" s="674"/>
      <c r="BC84" s="637"/>
      <c r="BD84" s="637"/>
      <c r="BE84" s="637"/>
      <c r="BF84" s="637"/>
      <c r="BG84" s="637"/>
      <c r="BH84" s="637"/>
      <c r="BI84" s="637"/>
      <c r="BJ84" s="637"/>
      <c r="BK84" s="637"/>
      <c r="BL84" s="637"/>
      <c r="BM84" s="637"/>
      <c r="BN84" s="637"/>
      <c r="BO84" s="637"/>
      <c r="BP84" s="637"/>
    </row>
    <row r="85" spans="2:68" s="245" customFormat="1" ht="13" customHeight="1">
      <c r="B85" s="786"/>
      <c r="C85" s="786"/>
      <c r="D85" s="786"/>
      <c r="E85" s="786"/>
      <c r="F85" s="786"/>
      <c r="G85" s="786"/>
      <c r="H85" s="786"/>
      <c r="I85" s="786"/>
      <c r="J85" s="786"/>
      <c r="K85" s="786"/>
      <c r="L85" s="688"/>
      <c r="M85" s="823"/>
      <c r="N85" s="860">
        <v>20</v>
      </c>
      <c r="O85" s="823"/>
      <c r="P85" s="860">
        <v>380</v>
      </c>
      <c r="Q85" s="823" t="s">
        <v>591</v>
      </c>
      <c r="R85" s="823"/>
      <c r="S85" s="823"/>
      <c r="T85" s="790"/>
      <c r="U85" s="790"/>
      <c r="V85" s="838"/>
      <c r="W85" s="838"/>
      <c r="X85" s="838"/>
      <c r="Y85" s="838"/>
      <c r="Z85" s="838"/>
      <c r="AA85" s="838"/>
      <c r="AB85" s="792"/>
      <c r="AC85" s="792"/>
      <c r="AD85" s="688"/>
      <c r="AE85" s="688"/>
      <c r="AF85" s="688"/>
      <c r="AG85" s="688"/>
      <c r="AH85" s="688"/>
      <c r="AI85" s="790"/>
      <c r="AJ85" s="790"/>
      <c r="AK85" s="790"/>
      <c r="AL85" s="790"/>
      <c r="AM85" s="790"/>
      <c r="AN85" s="790"/>
      <c r="AO85" s="790"/>
      <c r="AP85" s="790"/>
      <c r="AQ85" s="790"/>
      <c r="AR85" s="674"/>
      <c r="AS85" s="674"/>
      <c r="AT85" s="674"/>
      <c r="AU85" s="674"/>
      <c r="AV85" s="674"/>
      <c r="AW85" s="674"/>
      <c r="AX85" s="674"/>
      <c r="AY85" s="674"/>
      <c r="AZ85" s="674"/>
      <c r="BA85" s="674"/>
      <c r="BB85" s="674"/>
      <c r="BC85" s="637"/>
      <c r="BD85" s="637"/>
      <c r="BE85" s="637"/>
      <c r="BF85" s="637"/>
      <c r="BG85" s="637"/>
      <c r="BH85" s="637"/>
      <c r="BI85" s="637"/>
      <c r="BJ85" s="637"/>
      <c r="BK85" s="637"/>
      <c r="BL85" s="637"/>
      <c r="BM85" s="637"/>
      <c r="BN85" s="637"/>
      <c r="BO85" s="637"/>
      <c r="BP85" s="637"/>
    </row>
    <row r="86" spans="2:68" s="245" customFormat="1" ht="13" customHeight="1">
      <c r="B86" s="786"/>
      <c r="C86" s="786"/>
      <c r="D86" s="786"/>
      <c r="E86" s="786"/>
      <c r="F86" s="786"/>
      <c r="G86" s="786"/>
      <c r="H86" s="786"/>
      <c r="I86" s="786"/>
      <c r="J86" s="786"/>
      <c r="K86" s="786"/>
      <c r="L86" s="688"/>
      <c r="M86" s="823"/>
      <c r="N86" s="846">
        <v>20</v>
      </c>
      <c r="O86" s="823"/>
      <c r="P86" s="852">
        <f>IF(M77&gt;P85,M77,)</f>
        <v>0</v>
      </c>
      <c r="Q86" s="853" t="str">
        <f>"projektspez. HCC-Art.-Set: HIT-C-R M20x"&amp;(P86)</f>
        <v>projektspez. HCC-Art.-Set: HIT-C-R M20x0</v>
      </c>
      <c r="R86" s="853"/>
      <c r="S86" s="823"/>
      <c r="T86" s="790"/>
      <c r="U86" s="790"/>
      <c r="V86" s="838"/>
      <c r="W86" s="838"/>
      <c r="X86" s="838"/>
      <c r="Y86" s="838"/>
      <c r="Z86" s="838"/>
      <c r="AA86" s="838"/>
      <c r="AB86" s="792"/>
      <c r="AC86" s="792"/>
      <c r="AD86" s="688"/>
      <c r="AE86" s="688"/>
      <c r="AF86" s="688"/>
      <c r="AG86" s="688"/>
      <c r="AH86" s="688"/>
      <c r="AI86" s="790"/>
      <c r="AJ86" s="790"/>
      <c r="AK86" s="790"/>
      <c r="AL86" s="790"/>
      <c r="AM86" s="790"/>
      <c r="AN86" s="790"/>
      <c r="AO86" s="790"/>
      <c r="AP86" s="790"/>
      <c r="AQ86" s="790"/>
      <c r="AR86" s="674"/>
      <c r="AS86" s="674"/>
      <c r="AT86" s="674"/>
      <c r="AU86" s="674"/>
      <c r="AV86" s="674"/>
      <c r="AW86" s="674"/>
      <c r="AX86" s="674"/>
      <c r="AY86" s="674"/>
      <c r="AZ86" s="674"/>
      <c r="BA86" s="674"/>
      <c r="BB86" s="674"/>
      <c r="BC86" s="637"/>
      <c r="BD86" s="637"/>
      <c r="BE86" s="637"/>
      <c r="BF86" s="637"/>
      <c r="BG86" s="637"/>
      <c r="BH86" s="637"/>
      <c r="BI86" s="637"/>
      <c r="BJ86" s="637"/>
      <c r="BK86" s="637"/>
      <c r="BL86" s="637"/>
      <c r="BM86" s="637"/>
      <c r="BN86" s="637"/>
      <c r="BO86" s="637"/>
      <c r="BP86" s="637"/>
    </row>
    <row r="87" spans="2:68" s="245" customFormat="1" ht="13" customHeight="1">
      <c r="B87" s="786"/>
      <c r="C87" s="786"/>
      <c r="D87" s="786"/>
      <c r="E87" s="786"/>
      <c r="F87" s="786"/>
      <c r="G87" s="786"/>
      <c r="H87" s="786"/>
      <c r="I87" s="786"/>
      <c r="J87" s="786"/>
      <c r="K87" s="786"/>
      <c r="L87" s="688"/>
      <c r="M87" s="789"/>
      <c r="N87" s="846">
        <v>24</v>
      </c>
      <c r="O87" s="823"/>
      <c r="P87" s="852">
        <f>IF(M77&lt;240,M77,)</f>
        <v>0</v>
      </c>
      <c r="Q87" s="954" t="str">
        <f>"projektspez. HCC-Art.-Set: HIT-C-R M24x"&amp;(P87)</f>
        <v>projektspez. HCC-Art.-Set: HIT-C-R M24x0</v>
      </c>
      <c r="R87" s="954"/>
      <c r="S87" s="857"/>
      <c r="T87" s="849"/>
      <c r="U87" s="790"/>
      <c r="V87" s="838"/>
      <c r="W87" s="838"/>
      <c r="X87" s="838"/>
      <c r="Y87" s="838"/>
      <c r="Z87" s="838"/>
      <c r="AA87" s="838"/>
      <c r="AB87" s="792"/>
      <c r="AC87" s="792"/>
      <c r="AD87" s="688"/>
      <c r="AE87" s="688"/>
      <c r="AF87" s="688"/>
      <c r="AG87" s="688"/>
      <c r="AH87" s="688"/>
      <c r="AI87" s="790"/>
      <c r="AJ87" s="790"/>
      <c r="AK87" s="790"/>
      <c r="AL87" s="790"/>
      <c r="AM87" s="790"/>
      <c r="AN87" s="790"/>
      <c r="AO87" s="790"/>
      <c r="AP87" s="790"/>
      <c r="AQ87" s="790"/>
      <c r="AR87" s="674"/>
      <c r="AS87" s="674"/>
      <c r="AT87" s="674"/>
      <c r="AU87" s="674"/>
      <c r="AV87" s="674"/>
      <c r="AW87" s="674"/>
      <c r="AX87" s="674"/>
      <c r="AY87" s="674"/>
      <c r="AZ87" s="674"/>
      <c r="BA87" s="674"/>
      <c r="BB87" s="674"/>
      <c r="BC87" s="637"/>
      <c r="BD87" s="637"/>
      <c r="BE87" s="637"/>
      <c r="BF87" s="637"/>
      <c r="BG87" s="637"/>
      <c r="BH87" s="637"/>
      <c r="BI87" s="637"/>
      <c r="BJ87" s="637"/>
      <c r="BK87" s="637"/>
      <c r="BL87" s="637"/>
      <c r="BM87" s="637"/>
      <c r="BN87" s="637"/>
      <c r="BO87" s="637"/>
      <c r="BP87" s="637"/>
    </row>
    <row r="88" spans="2:68" s="245" customFormat="1" ht="13" customHeight="1">
      <c r="B88" s="786"/>
      <c r="C88" s="786"/>
      <c r="D88" s="786"/>
      <c r="E88" s="786"/>
      <c r="F88" s="786"/>
      <c r="G88" s="786"/>
      <c r="H88" s="786"/>
      <c r="I88" s="786"/>
      <c r="J88" s="786"/>
      <c r="K88" s="786"/>
      <c r="L88" s="688"/>
      <c r="M88" s="789"/>
      <c r="N88" s="846">
        <v>24</v>
      </c>
      <c r="O88" s="823"/>
      <c r="P88" s="847">
        <v>260</v>
      </c>
      <c r="Q88" s="848" t="s">
        <v>592</v>
      </c>
      <c r="R88" s="849"/>
      <c r="S88" s="861">
        <f>IF(M77&lt;240,M77,IF(OR(M77&lt;P88,M77=P88),P88,IF(OR(M77&lt;P89,M77=P89),P89,IF(OR(M77&lt;P90,M77=P90),P90,IF(OR(M77&lt;P91,M77=P91),P91,M77)))))</f>
        <v>260</v>
      </c>
      <c r="T88" s="849"/>
      <c r="U88" s="790"/>
      <c r="V88" s="838"/>
      <c r="W88" s="838"/>
      <c r="X88" s="838"/>
      <c r="Y88" s="838"/>
      <c r="Z88" s="838"/>
      <c r="AA88" s="838"/>
      <c r="AB88" s="792"/>
      <c r="AC88" s="792"/>
      <c r="AD88" s="688"/>
      <c r="AE88" s="688"/>
      <c r="AF88" s="688"/>
      <c r="AG88" s="688"/>
      <c r="AH88" s="688"/>
      <c r="AI88" s="790"/>
      <c r="AJ88" s="790"/>
      <c r="AK88" s="790"/>
      <c r="AL88" s="790"/>
      <c r="AM88" s="790"/>
      <c r="AN88" s="790"/>
      <c r="AO88" s="790"/>
      <c r="AP88" s="790"/>
      <c r="AQ88" s="790"/>
      <c r="AR88" s="674"/>
      <c r="AS88" s="674"/>
      <c r="AT88" s="674"/>
      <c r="AU88" s="674"/>
      <c r="AV88" s="674"/>
      <c r="AW88" s="674"/>
      <c r="AX88" s="674"/>
      <c r="AY88" s="674"/>
      <c r="AZ88" s="674"/>
      <c r="BA88" s="674"/>
      <c r="BB88" s="674"/>
      <c r="BC88" s="637"/>
      <c r="BD88" s="637"/>
      <c r="BE88" s="637"/>
      <c r="BF88" s="637"/>
      <c r="BG88" s="637"/>
      <c r="BH88" s="637"/>
      <c r="BI88" s="637"/>
      <c r="BJ88" s="637"/>
      <c r="BK88" s="637"/>
      <c r="BL88" s="637"/>
      <c r="BM88" s="637"/>
      <c r="BN88" s="637"/>
      <c r="BO88" s="637"/>
      <c r="BP88" s="637"/>
    </row>
    <row r="89" spans="2:68" s="245" customFormat="1" ht="13" customHeight="1">
      <c r="B89" s="786"/>
      <c r="C89" s="786"/>
      <c r="D89" s="786"/>
      <c r="E89" s="786"/>
      <c r="F89" s="786"/>
      <c r="G89" s="786"/>
      <c r="H89" s="786"/>
      <c r="I89" s="786"/>
      <c r="J89" s="786"/>
      <c r="K89" s="786"/>
      <c r="L89" s="688"/>
      <c r="M89" s="789"/>
      <c r="N89" s="846">
        <v>24</v>
      </c>
      <c r="O89" s="823"/>
      <c r="P89" s="847">
        <v>300</v>
      </c>
      <c r="Q89" s="848" t="s">
        <v>593</v>
      </c>
      <c r="R89" s="849"/>
      <c r="S89" s="857"/>
      <c r="T89" s="849"/>
      <c r="U89" s="790"/>
      <c r="V89" s="838"/>
      <c r="W89" s="838"/>
      <c r="X89" s="838"/>
      <c r="Y89" s="838"/>
      <c r="Z89" s="838"/>
      <c r="AA89" s="838"/>
      <c r="AB89" s="792"/>
      <c r="AC89" s="792"/>
      <c r="AD89" s="688"/>
      <c r="AE89" s="688"/>
      <c r="AF89" s="688"/>
      <c r="AG89" s="688"/>
      <c r="AH89" s="688"/>
      <c r="AI89" s="790"/>
      <c r="AJ89" s="790"/>
      <c r="AK89" s="790"/>
      <c r="AL89" s="790"/>
      <c r="AM89" s="790"/>
      <c r="AN89" s="790"/>
      <c r="AO89" s="790"/>
      <c r="AP89" s="790"/>
      <c r="AQ89" s="790"/>
      <c r="AR89" s="674"/>
      <c r="AS89" s="674"/>
      <c r="AT89" s="674"/>
      <c r="AU89" s="674"/>
      <c r="AV89" s="674"/>
      <c r="AW89" s="674"/>
      <c r="AX89" s="674"/>
      <c r="AY89" s="674"/>
      <c r="AZ89" s="674"/>
      <c r="BA89" s="674"/>
      <c r="BB89" s="674"/>
      <c r="BC89" s="637"/>
      <c r="BD89" s="637"/>
      <c r="BE89" s="637"/>
      <c r="BF89" s="637"/>
      <c r="BG89" s="637"/>
      <c r="BH89" s="637"/>
      <c r="BI89" s="637"/>
      <c r="BJ89" s="637"/>
      <c r="BK89" s="637"/>
      <c r="BL89" s="637"/>
      <c r="BM89" s="637"/>
      <c r="BN89" s="637"/>
      <c r="BO89" s="637"/>
      <c r="BP89" s="637"/>
    </row>
    <row r="90" spans="2:68" s="245" customFormat="1" ht="13" customHeight="1">
      <c r="B90" s="786"/>
      <c r="C90" s="786"/>
      <c r="D90" s="786"/>
      <c r="E90" s="786"/>
      <c r="F90" s="786"/>
      <c r="G90" s="786"/>
      <c r="H90" s="786"/>
      <c r="I90" s="786"/>
      <c r="J90" s="786"/>
      <c r="K90" s="786"/>
      <c r="L90" s="688"/>
      <c r="M90" s="789"/>
      <c r="N90" s="846">
        <v>24</v>
      </c>
      <c r="O90" s="823"/>
      <c r="P90" s="847">
        <v>330</v>
      </c>
      <c r="Q90" s="848" t="s">
        <v>594</v>
      </c>
      <c r="R90" s="849"/>
      <c r="S90" s="849"/>
      <c r="T90" s="849"/>
      <c r="U90" s="838"/>
      <c r="V90" s="838"/>
      <c r="W90" s="838"/>
      <c r="X90" s="838"/>
      <c r="Y90" s="838"/>
      <c r="Z90" s="838"/>
      <c r="AA90" s="838"/>
      <c r="AB90" s="792"/>
      <c r="AC90" s="792"/>
      <c r="AD90" s="688"/>
      <c r="AE90" s="688"/>
      <c r="AF90" s="688"/>
      <c r="AG90" s="688"/>
      <c r="AH90" s="688"/>
      <c r="AI90" s="790"/>
      <c r="AJ90" s="790"/>
      <c r="AK90" s="790"/>
      <c r="AL90" s="790"/>
      <c r="AM90" s="790"/>
      <c r="AN90" s="790"/>
      <c r="AO90" s="790"/>
      <c r="AP90" s="790"/>
      <c r="AQ90" s="790"/>
      <c r="AR90" s="674"/>
      <c r="AS90" s="674"/>
      <c r="AT90" s="674"/>
      <c r="AU90" s="674"/>
      <c r="AV90" s="674"/>
      <c r="AW90" s="674"/>
      <c r="AX90" s="674"/>
      <c r="AY90" s="674"/>
      <c r="AZ90" s="674"/>
      <c r="BA90" s="674"/>
      <c r="BB90" s="674"/>
      <c r="BC90" s="637"/>
      <c r="BD90" s="637"/>
      <c r="BE90" s="637"/>
      <c r="BF90" s="637"/>
      <c r="BG90" s="637"/>
      <c r="BH90" s="637"/>
      <c r="BI90" s="637"/>
      <c r="BJ90" s="637"/>
      <c r="BK90" s="637"/>
      <c r="BL90" s="637"/>
      <c r="BM90" s="637"/>
      <c r="BN90" s="637"/>
      <c r="BO90" s="637"/>
      <c r="BP90" s="637"/>
    </row>
    <row r="91" spans="2:68" s="245" customFormat="1" ht="13" customHeight="1">
      <c r="B91" s="786"/>
      <c r="C91" s="786"/>
      <c r="D91" s="786"/>
      <c r="E91" s="786"/>
      <c r="F91" s="786"/>
      <c r="G91" s="786"/>
      <c r="H91" s="786"/>
      <c r="I91" s="786"/>
      <c r="J91" s="786"/>
      <c r="K91" s="786"/>
      <c r="L91" s="688"/>
      <c r="M91" s="858"/>
      <c r="N91" s="846">
        <v>24</v>
      </c>
      <c r="O91" s="823"/>
      <c r="P91" s="847">
        <v>350</v>
      </c>
      <c r="Q91" s="848" t="s">
        <v>595</v>
      </c>
      <c r="R91" s="849"/>
      <c r="S91" s="849"/>
      <c r="T91" s="849"/>
      <c r="U91" s="838"/>
      <c r="V91" s="838"/>
      <c r="W91" s="838"/>
      <c r="X91" s="838"/>
      <c r="Y91" s="838"/>
      <c r="Z91" s="838"/>
      <c r="AA91" s="838"/>
      <c r="AB91" s="792"/>
      <c r="AC91" s="792"/>
      <c r="AD91" s="688"/>
      <c r="AE91" s="688"/>
      <c r="AF91" s="688"/>
      <c r="AG91" s="688"/>
      <c r="AH91" s="688"/>
      <c r="AI91" s="790"/>
      <c r="AJ91" s="790"/>
      <c r="AK91" s="790"/>
      <c r="AL91" s="790"/>
      <c r="AM91" s="790"/>
      <c r="AN91" s="790"/>
      <c r="AO91" s="790"/>
      <c r="AP91" s="790"/>
      <c r="AQ91" s="790"/>
      <c r="AR91" s="674"/>
      <c r="AS91" s="674"/>
      <c r="AT91" s="674"/>
      <c r="AU91" s="674"/>
      <c r="AV91" s="674"/>
      <c r="AW91" s="674"/>
      <c r="AX91" s="674"/>
      <c r="AY91" s="674"/>
      <c r="AZ91" s="674"/>
      <c r="BA91" s="674"/>
      <c r="BB91" s="674"/>
      <c r="BC91" s="637"/>
      <c r="BD91" s="637"/>
      <c r="BE91" s="637"/>
      <c r="BF91" s="637"/>
      <c r="BG91" s="637"/>
      <c r="BH91" s="637"/>
      <c r="BI91" s="637"/>
      <c r="BJ91" s="637"/>
      <c r="BK91" s="637"/>
      <c r="BL91" s="637"/>
      <c r="BM91" s="637"/>
      <c r="BN91" s="637"/>
      <c r="BO91" s="637"/>
      <c r="BP91" s="637"/>
    </row>
    <row r="92" spans="2:68" s="245" customFormat="1" ht="13" customHeight="1">
      <c r="B92" s="786"/>
      <c r="C92" s="786"/>
      <c r="D92" s="786"/>
      <c r="E92" s="786"/>
      <c r="F92" s="786"/>
      <c r="G92" s="786"/>
      <c r="H92" s="786"/>
      <c r="I92" s="786"/>
      <c r="J92" s="786"/>
      <c r="K92" s="786"/>
      <c r="L92" s="688"/>
      <c r="M92" s="789"/>
      <c r="N92" s="846">
        <v>24</v>
      </c>
      <c r="O92" s="862"/>
      <c r="P92" s="852">
        <f>IF(M77&gt;P91,M77,)</f>
        <v>0</v>
      </c>
      <c r="Q92" s="853" t="str">
        <f>"projektspez. HCC-Art.-Set: HIT-C-R M24x"&amp;(P92)</f>
        <v>projektspez. HCC-Art.-Set: HIT-C-R M24x0</v>
      </c>
      <c r="R92" s="853"/>
      <c r="S92" s="849"/>
      <c r="T92" s="849"/>
      <c r="U92" s="838"/>
      <c r="V92" s="838"/>
      <c r="W92" s="838"/>
      <c r="X92" s="838"/>
      <c r="Y92" s="838"/>
      <c r="Z92" s="838"/>
      <c r="AA92" s="838"/>
      <c r="AB92" s="792"/>
      <c r="AC92" s="792"/>
      <c r="AD92" s="688"/>
      <c r="AE92" s="688"/>
      <c r="AF92" s="688"/>
      <c r="AG92" s="688"/>
      <c r="AH92" s="688"/>
      <c r="AI92" s="790"/>
      <c r="AJ92" s="790"/>
      <c r="AK92" s="790"/>
      <c r="AL92" s="790"/>
      <c r="AM92" s="790"/>
      <c r="AN92" s="790"/>
      <c r="AO92" s="790"/>
      <c r="AP92" s="790"/>
      <c r="AQ92" s="790"/>
      <c r="AR92" s="674"/>
      <c r="AS92" s="674"/>
      <c r="AT92" s="674"/>
      <c r="AU92" s="674"/>
      <c r="AV92" s="674"/>
      <c r="AW92" s="674"/>
      <c r="AX92" s="674"/>
      <c r="AY92" s="674"/>
      <c r="AZ92" s="674"/>
      <c r="BA92" s="674"/>
      <c r="BB92" s="674"/>
      <c r="BC92" s="637"/>
      <c r="BD92" s="637"/>
      <c r="BE92" s="637"/>
      <c r="BF92" s="637"/>
      <c r="BG92" s="637"/>
      <c r="BH92" s="637"/>
      <c r="BI92" s="637"/>
      <c r="BJ92" s="637"/>
      <c r="BK92" s="637"/>
      <c r="BL92" s="637"/>
      <c r="BM92" s="637"/>
      <c r="BN92" s="637"/>
      <c r="BO92" s="637"/>
      <c r="BP92" s="637"/>
    </row>
    <row r="93" spans="2:68" s="245" customFormat="1" ht="13" customHeight="1">
      <c r="B93" s="786"/>
      <c r="C93" s="786"/>
      <c r="D93" s="786"/>
      <c r="E93" s="786"/>
      <c r="F93" s="786"/>
      <c r="G93" s="786"/>
      <c r="H93" s="786"/>
      <c r="I93" s="786"/>
      <c r="J93" s="786"/>
      <c r="K93" s="786"/>
      <c r="L93" s="688"/>
      <c r="M93" s="688"/>
      <c r="N93" s="863"/>
      <c r="O93" s="838"/>
      <c r="P93" s="838"/>
      <c r="Q93" s="838"/>
      <c r="R93" s="838"/>
      <c r="S93" s="838"/>
      <c r="T93" s="838"/>
      <c r="U93" s="838"/>
      <c r="V93" s="838"/>
      <c r="W93" s="838"/>
      <c r="X93" s="838"/>
      <c r="Y93" s="838"/>
      <c r="Z93" s="838"/>
      <c r="AA93" s="838"/>
      <c r="AB93" s="792"/>
      <c r="AC93" s="792"/>
      <c r="AD93" s="688"/>
      <c r="AE93" s="688"/>
      <c r="AF93" s="688"/>
      <c r="AG93" s="688"/>
      <c r="AH93" s="688"/>
      <c r="AI93" s="790"/>
      <c r="AJ93" s="790"/>
      <c r="AK93" s="790"/>
      <c r="AL93" s="790"/>
      <c r="AM93" s="790"/>
      <c r="AN93" s="790"/>
      <c r="AO93" s="790"/>
      <c r="AP93" s="790"/>
      <c r="AQ93" s="790"/>
      <c r="AR93" s="674"/>
      <c r="AS93" s="674"/>
      <c r="AT93" s="674"/>
      <c r="AU93" s="674"/>
      <c r="AV93" s="674"/>
      <c r="AW93" s="674"/>
      <c r="AX93" s="674"/>
      <c r="AY93" s="674"/>
      <c r="AZ93" s="674"/>
      <c r="BA93" s="674"/>
      <c r="BB93" s="674"/>
      <c r="BC93" s="637"/>
      <c r="BD93" s="637"/>
      <c r="BE93" s="637"/>
      <c r="BF93" s="637"/>
      <c r="BG93" s="637"/>
      <c r="BH93" s="637"/>
      <c r="BI93" s="637"/>
      <c r="BJ93" s="637"/>
      <c r="BK93" s="637"/>
      <c r="BL93" s="637"/>
      <c r="BM93" s="637"/>
      <c r="BN93" s="637"/>
      <c r="BO93" s="637"/>
      <c r="BP93" s="637"/>
    </row>
    <row r="94" spans="2:68" s="245" customFormat="1" ht="13" customHeight="1">
      <c r="B94" s="786"/>
      <c r="C94" s="786"/>
      <c r="D94" s="786"/>
      <c r="E94" s="786"/>
      <c r="F94" s="786"/>
      <c r="G94" s="786"/>
      <c r="H94" s="786"/>
      <c r="I94" s="786"/>
      <c r="J94" s="786"/>
      <c r="K94" s="786"/>
      <c r="L94" s="688"/>
      <c r="M94" s="688" t="s">
        <v>452</v>
      </c>
      <c r="N94" s="688"/>
      <c r="O94" s="864" t="s">
        <v>460</v>
      </c>
      <c r="P94" s="864">
        <v>230</v>
      </c>
      <c r="Q94" s="838"/>
      <c r="R94" s="838"/>
      <c r="S94" s="838"/>
      <c r="T94" s="838"/>
      <c r="U94" s="838"/>
      <c r="V94" s="838"/>
      <c r="W94" s="838"/>
      <c r="X94" s="838"/>
      <c r="Y94" s="838"/>
      <c r="Z94" s="838"/>
      <c r="AA94" s="838"/>
      <c r="AB94" s="792"/>
      <c r="AC94" s="792"/>
      <c r="AD94" s="688"/>
      <c r="AE94" s="688"/>
      <c r="AF94" s="688"/>
      <c r="AG94" s="688"/>
      <c r="AH94" s="688"/>
      <c r="AI94" s="790"/>
      <c r="AJ94" s="790"/>
      <c r="AK94" s="790"/>
      <c r="AL94" s="790"/>
      <c r="AM94" s="790"/>
      <c r="AN94" s="790"/>
      <c r="AO94" s="790"/>
      <c r="AP94" s="790"/>
      <c r="AQ94" s="790"/>
      <c r="AR94" s="674"/>
      <c r="AS94" s="674"/>
      <c r="AT94" s="674"/>
      <c r="AU94" s="674"/>
      <c r="AV94" s="674"/>
      <c r="AW94" s="674"/>
      <c r="AX94" s="674"/>
      <c r="AY94" s="674"/>
      <c r="AZ94" s="674"/>
      <c r="BA94" s="674"/>
      <c r="BB94" s="674"/>
      <c r="BC94" s="637"/>
      <c r="BD94" s="637"/>
      <c r="BE94" s="637"/>
      <c r="BF94" s="637"/>
      <c r="BG94" s="637"/>
      <c r="BH94" s="637"/>
      <c r="BI94" s="637"/>
      <c r="BJ94" s="637"/>
      <c r="BK94" s="637"/>
      <c r="BL94" s="637"/>
      <c r="BM94" s="637"/>
      <c r="BN94" s="637"/>
      <c r="BO94" s="637"/>
      <c r="BP94" s="637"/>
    </row>
    <row r="95" spans="2:68" s="245" customFormat="1" ht="13" customHeight="1">
      <c r="B95" s="786"/>
      <c r="C95" s="786"/>
      <c r="D95" s="786"/>
      <c r="E95" s="786"/>
      <c r="F95" s="786"/>
      <c r="G95" s="786"/>
      <c r="H95" s="786"/>
      <c r="I95" s="786"/>
      <c r="J95" s="786"/>
      <c r="K95" s="786"/>
      <c r="L95" s="688"/>
      <c r="M95" s="688" t="s">
        <v>453</v>
      </c>
      <c r="N95" s="810" t="s">
        <v>456</v>
      </c>
      <c r="O95" s="807">
        <v>300</v>
      </c>
      <c r="P95" s="796" t="s">
        <v>434</v>
      </c>
      <c r="Q95" s="838"/>
      <c r="R95" s="838"/>
      <c r="S95" s="838"/>
      <c r="T95" s="838"/>
      <c r="U95" s="838"/>
      <c r="V95" s="838"/>
      <c r="W95" s="838"/>
      <c r="X95" s="838"/>
      <c r="Y95" s="838"/>
      <c r="Z95" s="838"/>
      <c r="AA95" s="838"/>
      <c r="AB95" s="792"/>
      <c r="AC95" s="792"/>
      <c r="AD95" s="688"/>
      <c r="AE95" s="688"/>
      <c r="AF95" s="688"/>
      <c r="AG95" s="688"/>
      <c r="AH95" s="688"/>
      <c r="AI95" s="790"/>
      <c r="AJ95" s="790"/>
      <c r="AK95" s="790"/>
      <c r="AL95" s="790"/>
      <c r="AM95" s="790"/>
      <c r="AN95" s="790"/>
      <c r="AO95" s="790"/>
      <c r="AP95" s="790"/>
      <c r="AQ95" s="790"/>
      <c r="AR95" s="674"/>
      <c r="AS95" s="674"/>
      <c r="AT95" s="674"/>
      <c r="AU95" s="674"/>
      <c r="AV95" s="674"/>
      <c r="AW95" s="674"/>
      <c r="AX95" s="674"/>
      <c r="AY95" s="674"/>
      <c r="AZ95" s="674"/>
      <c r="BA95" s="674"/>
      <c r="BB95" s="674"/>
      <c r="BC95" s="637"/>
      <c r="BD95" s="637"/>
      <c r="BE95" s="637"/>
      <c r="BF95" s="637"/>
      <c r="BG95" s="637"/>
      <c r="BH95" s="637"/>
      <c r="BI95" s="637"/>
      <c r="BJ95" s="637"/>
      <c r="BK95" s="637"/>
      <c r="BL95" s="637"/>
      <c r="BM95" s="637"/>
      <c r="BN95" s="637"/>
      <c r="BO95" s="637"/>
      <c r="BP95" s="637"/>
    </row>
    <row r="96" spans="2:68" s="245" customFormat="1" ht="13" customHeight="1">
      <c r="B96" s="786"/>
      <c r="C96" s="786"/>
      <c r="D96" s="786"/>
      <c r="E96" s="786"/>
      <c r="F96" s="786"/>
      <c r="G96" s="786"/>
      <c r="H96" s="786"/>
      <c r="I96" s="786"/>
      <c r="J96" s="786"/>
      <c r="K96" s="786"/>
      <c r="L96" s="688"/>
      <c r="M96" s="688" t="s">
        <v>454</v>
      </c>
      <c r="N96" s="810" t="s">
        <v>457</v>
      </c>
      <c r="O96" s="796">
        <v>270</v>
      </c>
      <c r="P96" s="796">
        <v>350</v>
      </c>
      <c r="Q96" s="838"/>
      <c r="R96" s="838"/>
      <c r="S96" s="838"/>
      <c r="T96" s="838"/>
      <c r="U96" s="838"/>
      <c r="V96" s="838"/>
      <c r="W96" s="838"/>
      <c r="X96" s="838"/>
      <c r="Y96" s="838"/>
      <c r="Z96" s="838"/>
      <c r="AA96" s="838"/>
      <c r="AB96" s="792"/>
      <c r="AC96" s="792"/>
      <c r="AD96" s="688"/>
      <c r="AE96" s="688"/>
      <c r="AF96" s="688"/>
      <c r="AG96" s="688"/>
      <c r="AH96" s="688"/>
      <c r="AI96" s="790"/>
      <c r="AJ96" s="790"/>
      <c r="AK96" s="790"/>
      <c r="AL96" s="790"/>
      <c r="AM96" s="790"/>
      <c r="AN96" s="790"/>
      <c r="AO96" s="790"/>
      <c r="AP96" s="790"/>
      <c r="AQ96" s="790"/>
      <c r="AR96" s="674"/>
      <c r="AS96" s="674"/>
      <c r="AT96" s="674"/>
      <c r="AU96" s="674"/>
      <c r="AV96" s="674"/>
      <c r="AW96" s="674"/>
      <c r="AX96" s="674"/>
      <c r="AY96" s="674"/>
      <c r="AZ96" s="674"/>
      <c r="BA96" s="674"/>
      <c r="BB96" s="674"/>
      <c r="BC96" s="637"/>
      <c r="BD96" s="637"/>
      <c r="BE96" s="637"/>
      <c r="BF96" s="637"/>
      <c r="BG96" s="637"/>
      <c r="BH96" s="637"/>
      <c r="BI96" s="637"/>
      <c r="BJ96" s="637"/>
      <c r="BK96" s="637"/>
      <c r="BL96" s="637"/>
      <c r="BM96" s="637"/>
      <c r="BN96" s="637"/>
      <c r="BO96" s="637"/>
      <c r="BP96" s="637"/>
    </row>
    <row r="97" spans="2:68" s="245" customFormat="1" ht="13" customHeight="1">
      <c r="B97" s="786"/>
      <c r="C97" s="786"/>
      <c r="D97" s="786"/>
      <c r="E97" s="786"/>
      <c r="F97" s="786"/>
      <c r="G97" s="786"/>
      <c r="H97" s="786"/>
      <c r="I97" s="786"/>
      <c r="J97" s="786"/>
      <c r="K97" s="786"/>
      <c r="L97" s="688"/>
      <c r="M97" s="688" t="s">
        <v>455</v>
      </c>
      <c r="N97" s="810" t="s">
        <v>458</v>
      </c>
      <c r="O97" s="796">
        <v>250</v>
      </c>
      <c r="P97" s="796" t="s">
        <v>434</v>
      </c>
      <c r="Q97" s="838"/>
      <c r="R97" s="838"/>
      <c r="S97" s="838"/>
      <c r="T97" s="838"/>
      <c r="U97" s="838"/>
      <c r="V97" s="838"/>
      <c r="W97" s="838"/>
      <c r="X97" s="838"/>
      <c r="Y97" s="838"/>
      <c r="Z97" s="838"/>
      <c r="AA97" s="838"/>
      <c r="AB97" s="792"/>
      <c r="AC97" s="792"/>
      <c r="AD97" s="688"/>
      <c r="AE97" s="688"/>
      <c r="AF97" s="688"/>
      <c r="AG97" s="688"/>
      <c r="AH97" s="688"/>
      <c r="AI97" s="790"/>
      <c r="AJ97" s="790"/>
      <c r="AK97" s="790"/>
      <c r="AL97" s="790"/>
      <c r="AM97" s="790"/>
      <c r="AN97" s="790"/>
      <c r="AO97" s="790"/>
      <c r="AP97" s="790"/>
      <c r="AQ97" s="790"/>
      <c r="AR97" s="674"/>
      <c r="AS97" s="674"/>
      <c r="AT97" s="674"/>
      <c r="AU97" s="674"/>
      <c r="AV97" s="674"/>
      <c r="AW97" s="674"/>
      <c r="AX97" s="674"/>
      <c r="AY97" s="674"/>
      <c r="AZ97" s="674"/>
      <c r="BA97" s="674"/>
      <c r="BB97" s="674"/>
      <c r="BC97" s="637"/>
      <c r="BD97" s="637"/>
      <c r="BE97" s="637"/>
      <c r="BF97" s="637"/>
      <c r="BG97" s="637"/>
      <c r="BH97" s="637"/>
      <c r="BI97" s="637"/>
      <c r="BJ97" s="637"/>
      <c r="BK97" s="637"/>
      <c r="BL97" s="637"/>
      <c r="BM97" s="637"/>
      <c r="BN97" s="637"/>
      <c r="BO97" s="637"/>
      <c r="BP97" s="637"/>
    </row>
    <row r="98" spans="2:68" s="245" customFormat="1" ht="13" customHeight="1">
      <c r="B98" s="786"/>
      <c r="C98" s="786"/>
      <c r="D98" s="786"/>
      <c r="E98" s="786"/>
      <c r="F98" s="786"/>
      <c r="G98" s="786"/>
      <c r="H98" s="786"/>
      <c r="I98" s="786"/>
      <c r="J98" s="786"/>
      <c r="K98" s="786"/>
      <c r="L98" s="688"/>
      <c r="M98" s="688"/>
      <c r="N98" s="810" t="s">
        <v>459</v>
      </c>
      <c r="O98" s="796">
        <v>240</v>
      </c>
      <c r="P98" s="796">
        <v>320</v>
      </c>
      <c r="Q98" s="838"/>
      <c r="R98" s="838"/>
      <c r="S98" s="838"/>
      <c r="T98" s="838"/>
      <c r="U98" s="838"/>
      <c r="V98" s="838"/>
      <c r="W98" s="838"/>
      <c r="X98" s="838"/>
      <c r="Y98" s="838"/>
      <c r="Z98" s="838"/>
      <c r="AA98" s="838"/>
      <c r="AB98" s="792"/>
      <c r="AC98" s="792"/>
      <c r="AD98" s="688"/>
      <c r="AE98" s="688"/>
      <c r="AF98" s="688"/>
      <c r="AG98" s="688"/>
      <c r="AH98" s="688"/>
      <c r="AI98" s="790"/>
      <c r="AJ98" s="790"/>
      <c r="AK98" s="790"/>
      <c r="AL98" s="790"/>
      <c r="AM98" s="790"/>
      <c r="AN98" s="790"/>
      <c r="AO98" s="790"/>
      <c r="AP98" s="790"/>
      <c r="AQ98" s="790"/>
      <c r="AR98" s="674"/>
      <c r="AS98" s="674"/>
      <c r="AT98" s="674"/>
      <c r="AU98" s="674"/>
      <c r="AV98" s="674"/>
      <c r="AW98" s="674"/>
      <c r="AX98" s="674"/>
      <c r="AY98" s="674"/>
      <c r="AZ98" s="674"/>
      <c r="BA98" s="674"/>
      <c r="BB98" s="674"/>
      <c r="BC98" s="637"/>
      <c r="BD98" s="637"/>
      <c r="BE98" s="637"/>
      <c r="BF98" s="637"/>
      <c r="BG98" s="637"/>
      <c r="BH98" s="637"/>
      <c r="BI98" s="637"/>
      <c r="BJ98" s="637"/>
      <c r="BK98" s="637"/>
      <c r="BL98" s="637"/>
      <c r="BM98" s="637"/>
      <c r="BN98" s="637"/>
      <c r="BO98" s="637"/>
      <c r="BP98" s="637"/>
    </row>
    <row r="99" spans="2:68" s="245" customFormat="1" ht="13" customHeight="1">
      <c r="B99" s="786"/>
      <c r="C99" s="786"/>
      <c r="D99" s="786"/>
      <c r="E99" s="786"/>
      <c r="F99" s="786"/>
      <c r="G99" s="786"/>
      <c r="H99" s="786"/>
      <c r="I99" s="786"/>
      <c r="J99" s="786"/>
      <c r="K99" s="786"/>
      <c r="L99" s="688"/>
      <c r="M99" s="790" t="s">
        <v>461</v>
      </c>
      <c r="N99" s="838"/>
      <c r="O99" s="838"/>
      <c r="P99" s="838"/>
      <c r="Q99" s="838"/>
      <c r="R99" s="838"/>
      <c r="S99" s="838"/>
      <c r="T99" s="838"/>
      <c r="U99" s="838"/>
      <c r="V99" s="838"/>
      <c r="W99" s="838"/>
      <c r="X99" s="838"/>
      <c r="Y99" s="838"/>
      <c r="Z99" s="838"/>
      <c r="AA99" s="838"/>
      <c r="AB99" s="792"/>
      <c r="AC99" s="792"/>
      <c r="AD99" s="688"/>
      <c r="AE99" s="688"/>
      <c r="AF99" s="688"/>
      <c r="AG99" s="688"/>
      <c r="AH99" s="688"/>
      <c r="AI99" s="790"/>
      <c r="AJ99" s="790"/>
      <c r="AK99" s="790"/>
      <c r="AL99" s="790"/>
      <c r="AM99" s="790"/>
      <c r="AN99" s="790"/>
      <c r="AO99" s="790"/>
      <c r="AP99" s="790"/>
      <c r="AQ99" s="790"/>
      <c r="AR99" s="674"/>
      <c r="AS99" s="674"/>
      <c r="AT99" s="674"/>
      <c r="AU99" s="674"/>
      <c r="AV99" s="674"/>
      <c r="AW99" s="674"/>
      <c r="AX99" s="674"/>
      <c r="AY99" s="674"/>
      <c r="AZ99" s="674"/>
      <c r="BA99" s="674"/>
      <c r="BB99" s="674"/>
      <c r="BC99" s="637"/>
      <c r="BD99" s="637"/>
      <c r="BE99" s="637"/>
      <c r="BF99" s="637"/>
      <c r="BG99" s="637"/>
      <c r="BH99" s="637"/>
      <c r="BI99" s="637"/>
      <c r="BJ99" s="637"/>
      <c r="BK99" s="637"/>
      <c r="BL99" s="637"/>
      <c r="BM99" s="637"/>
      <c r="BN99" s="637"/>
      <c r="BO99" s="637"/>
      <c r="BP99" s="637"/>
    </row>
    <row r="100" spans="2:68" s="245" customFormat="1">
      <c r="B100" s="787"/>
      <c r="C100" s="787"/>
      <c r="D100" s="787"/>
      <c r="E100" s="787"/>
      <c r="F100" s="787"/>
      <c r="G100" s="787"/>
      <c r="H100" s="787"/>
      <c r="I100" s="787"/>
      <c r="J100" s="787"/>
      <c r="K100" s="787"/>
      <c r="L100" s="688"/>
      <c r="M100" s="865" t="s">
        <v>462</v>
      </c>
      <c r="N100" s="790"/>
      <c r="O100" s="790"/>
      <c r="P100" s="688"/>
      <c r="Q100" s="688"/>
      <c r="R100" s="688"/>
      <c r="S100" s="688"/>
      <c r="T100" s="688"/>
      <c r="U100" s="688"/>
      <c r="V100" s="792"/>
      <c r="W100" s="792"/>
      <c r="X100" s="688"/>
      <c r="Y100" s="688"/>
      <c r="Z100" s="688"/>
      <c r="AA100" s="688"/>
      <c r="AB100" s="793"/>
      <c r="AC100" s="793"/>
      <c r="AD100" s="791"/>
      <c r="AE100" s="791"/>
      <c r="AF100" s="791"/>
      <c r="AG100" s="791"/>
      <c r="AH100" s="791"/>
      <c r="AI100" s="790"/>
      <c r="AJ100" s="790"/>
      <c r="AK100" s="790"/>
      <c r="AL100" s="790"/>
      <c r="AM100" s="790"/>
      <c r="AN100" s="790"/>
      <c r="AO100" s="790"/>
      <c r="AP100" s="790"/>
      <c r="AQ100" s="790"/>
      <c r="AR100" s="674"/>
      <c r="AS100" s="674"/>
      <c r="AT100" s="674"/>
      <c r="AU100" s="674"/>
      <c r="AV100" s="674"/>
      <c r="AW100" s="674"/>
      <c r="AX100" s="674"/>
      <c r="AY100" s="674"/>
      <c r="AZ100" s="674"/>
      <c r="BA100" s="674"/>
      <c r="BB100" s="674"/>
      <c r="BC100" s="637"/>
      <c r="BD100" s="637"/>
      <c r="BE100" s="637"/>
      <c r="BF100" s="637"/>
      <c r="BG100" s="637"/>
      <c r="BH100" s="637"/>
      <c r="BI100" s="637"/>
      <c r="BJ100" s="637"/>
      <c r="BK100" s="637"/>
      <c r="BL100" s="637"/>
      <c r="BM100" s="637"/>
      <c r="BN100" s="637"/>
      <c r="BO100" s="637"/>
      <c r="BP100" s="637"/>
    </row>
    <row r="101" spans="2:68" s="245" customFormat="1">
      <c r="K101" s="686"/>
      <c r="L101" s="677"/>
      <c r="M101" s="685" t="s">
        <v>463</v>
      </c>
      <c r="N101" s="674"/>
      <c r="O101" s="674"/>
      <c r="P101" s="677"/>
      <c r="Q101" s="677"/>
      <c r="R101" s="677"/>
      <c r="S101" s="677"/>
      <c r="T101" s="677"/>
      <c r="U101" s="677"/>
      <c r="V101" s="678"/>
      <c r="W101" s="678"/>
      <c r="X101" s="677"/>
      <c r="Y101" s="677"/>
      <c r="Z101" s="677"/>
      <c r="AA101" s="677"/>
      <c r="AB101" s="679"/>
      <c r="AC101" s="679"/>
      <c r="AD101" s="673"/>
      <c r="AE101" s="673"/>
      <c r="AF101" s="673"/>
      <c r="AG101" s="673"/>
      <c r="AH101" s="673"/>
      <c r="AI101" s="674"/>
      <c r="AJ101" s="674"/>
      <c r="AK101" s="674"/>
      <c r="AL101" s="674"/>
      <c r="AM101" s="674"/>
      <c r="AN101" s="674"/>
      <c r="AO101" s="674"/>
      <c r="AP101" s="674"/>
      <c r="AQ101" s="674"/>
      <c r="AR101" s="674"/>
      <c r="AS101" s="674"/>
      <c r="AT101" s="674"/>
      <c r="AU101" s="674"/>
      <c r="AV101" s="674"/>
      <c r="AW101" s="674"/>
      <c r="AX101" s="674"/>
      <c r="AY101" s="674"/>
      <c r="AZ101" s="674"/>
      <c r="BA101" s="674"/>
      <c r="BB101" s="674"/>
      <c r="BC101" s="637"/>
      <c r="BD101" s="637"/>
      <c r="BE101" s="637"/>
      <c r="BF101" s="637"/>
      <c r="BG101" s="637"/>
      <c r="BH101" s="637"/>
      <c r="BI101" s="637"/>
      <c r="BJ101" s="637"/>
      <c r="BK101" s="637"/>
      <c r="BL101" s="637"/>
      <c r="BM101" s="637"/>
      <c r="BN101" s="637"/>
      <c r="BO101" s="637"/>
      <c r="BP101" s="637"/>
    </row>
    <row r="102" spans="2:68" s="245" customFormat="1">
      <c r="J102" s="687"/>
      <c r="K102" s="686"/>
      <c r="L102" s="677"/>
      <c r="M102" s="674"/>
      <c r="N102" s="674"/>
      <c r="O102" s="674"/>
      <c r="P102" s="677"/>
      <c r="Q102" s="677"/>
      <c r="R102" s="677"/>
      <c r="S102" s="677"/>
      <c r="T102" s="677"/>
      <c r="U102" s="677"/>
      <c r="V102" s="678"/>
      <c r="W102" s="678"/>
      <c r="X102" s="677"/>
      <c r="Y102" s="677"/>
      <c r="Z102" s="677"/>
      <c r="AA102" s="677"/>
      <c r="AB102" s="679"/>
      <c r="AC102" s="679"/>
      <c r="AD102" s="673"/>
      <c r="AE102" s="673"/>
      <c r="AF102" s="673"/>
      <c r="AG102" s="673"/>
      <c r="AH102" s="673"/>
      <c r="AI102" s="674"/>
      <c r="AJ102" s="674"/>
      <c r="AK102" s="674"/>
      <c r="AL102" s="674"/>
      <c r="AM102" s="674"/>
      <c r="AN102" s="674"/>
      <c r="AO102" s="674"/>
      <c r="AP102" s="674"/>
      <c r="AQ102" s="674"/>
      <c r="AR102" s="674"/>
      <c r="AS102" s="674"/>
      <c r="AT102" s="674"/>
      <c r="AU102" s="674"/>
      <c r="AV102" s="674"/>
      <c r="AW102" s="674"/>
      <c r="AX102" s="674"/>
      <c r="AY102" s="674"/>
      <c r="AZ102" s="674"/>
      <c r="BA102" s="674"/>
      <c r="BB102" s="674"/>
      <c r="BC102" s="637"/>
      <c r="BD102" s="637"/>
      <c r="BE102" s="637"/>
      <c r="BF102" s="637"/>
      <c r="BG102" s="637"/>
      <c r="BH102" s="637"/>
      <c r="BI102" s="637"/>
      <c r="BJ102" s="637"/>
      <c r="BK102" s="637"/>
      <c r="BL102" s="637"/>
      <c r="BM102" s="637"/>
      <c r="BN102" s="637"/>
      <c r="BO102" s="637"/>
      <c r="BP102" s="637"/>
    </row>
    <row r="103" spans="2:68" s="245" customFormat="1">
      <c r="I103" s="674"/>
      <c r="J103" s="674"/>
      <c r="K103" s="674"/>
      <c r="L103" s="677"/>
      <c r="M103" s="674"/>
      <c r="N103" s="674"/>
      <c r="O103" s="674"/>
      <c r="P103" s="677"/>
      <c r="Q103" s="677"/>
      <c r="R103" s="677"/>
      <c r="S103" s="677"/>
      <c r="T103" s="677"/>
      <c r="U103" s="677"/>
      <c r="V103" s="678"/>
      <c r="W103" s="678"/>
      <c r="X103" s="677"/>
      <c r="Y103" s="677"/>
      <c r="Z103" s="677"/>
      <c r="AA103" s="677"/>
      <c r="AB103" s="679"/>
      <c r="AC103" s="679"/>
      <c r="AD103" s="673"/>
      <c r="AE103" s="673"/>
      <c r="AF103" s="673"/>
      <c r="AG103" s="673"/>
      <c r="AH103" s="673"/>
      <c r="AI103" s="674"/>
      <c r="AJ103" s="674"/>
      <c r="AK103" s="674"/>
      <c r="AL103" s="674"/>
      <c r="AM103" s="674"/>
      <c r="AN103" s="674"/>
      <c r="AO103" s="674"/>
      <c r="AP103" s="674"/>
      <c r="AQ103" s="674"/>
      <c r="AR103" s="674"/>
      <c r="AS103" s="674"/>
      <c r="AT103" s="674"/>
      <c r="AU103" s="674"/>
      <c r="AV103" s="674"/>
      <c r="AW103" s="674"/>
      <c r="AX103" s="674"/>
      <c r="AY103" s="674"/>
      <c r="AZ103" s="674"/>
      <c r="BA103" s="674"/>
      <c r="BB103" s="674"/>
      <c r="BC103" s="637"/>
      <c r="BD103" s="637"/>
      <c r="BE103" s="637"/>
      <c r="BF103" s="637"/>
      <c r="BG103" s="637"/>
      <c r="BH103" s="637"/>
      <c r="BI103" s="637"/>
      <c r="BJ103" s="637"/>
      <c r="BK103" s="637"/>
      <c r="BL103" s="637"/>
      <c r="BM103" s="637"/>
      <c r="BN103" s="637"/>
      <c r="BO103" s="637"/>
      <c r="BP103" s="637"/>
    </row>
    <row r="104" spans="2:68" s="245" customFormat="1">
      <c r="H104" s="637" t="s">
        <v>147</v>
      </c>
      <c r="I104" s="674"/>
      <c r="J104" s="674"/>
      <c r="K104" s="674"/>
      <c r="L104" s="677"/>
      <c r="M104" s="677"/>
      <c r="N104" s="677" t="s">
        <v>550</v>
      </c>
      <c r="O104" s="677" t="s">
        <v>441</v>
      </c>
      <c r="P104" s="677"/>
      <c r="Q104" s="677"/>
      <c r="R104" s="677"/>
      <c r="S104" s="677"/>
      <c r="T104" s="677"/>
      <c r="U104" s="677"/>
      <c r="V104" s="678"/>
      <c r="W104" s="678"/>
      <c r="X104" s="677"/>
      <c r="Y104" s="677"/>
      <c r="Z104" s="677"/>
      <c r="AA104" s="677"/>
      <c r="AB104" s="679"/>
      <c r="AC104" s="679"/>
      <c r="AD104" s="673"/>
      <c r="AE104" s="673"/>
      <c r="AF104" s="673"/>
      <c r="AG104" s="673"/>
      <c r="AH104" s="673"/>
      <c r="AI104" s="674"/>
      <c r="AJ104" s="674"/>
      <c r="AK104" s="674"/>
      <c r="AL104" s="674"/>
      <c r="AM104" s="674"/>
      <c r="AN104" s="674"/>
      <c r="AO104" s="674"/>
      <c r="AP104" s="674"/>
      <c r="AQ104" s="674"/>
      <c r="AR104" s="674"/>
      <c r="AS104" s="674"/>
      <c r="AT104" s="674"/>
      <c r="AU104" s="674"/>
      <c r="AV104" s="674"/>
      <c r="AW104" s="674"/>
      <c r="AX104" s="674"/>
      <c r="AY104" s="674"/>
      <c r="AZ104" s="674"/>
      <c r="BA104" s="674"/>
      <c r="BB104" s="674"/>
      <c r="BC104" s="637"/>
      <c r="BD104" s="637"/>
      <c r="BE104" s="637"/>
      <c r="BF104" s="637"/>
      <c r="BG104" s="637"/>
      <c r="BH104" s="637"/>
      <c r="BI104" s="637"/>
      <c r="BJ104" s="637"/>
      <c r="BK104" s="637"/>
      <c r="BL104" s="637"/>
      <c r="BM104" s="637"/>
      <c r="BN104" s="637"/>
      <c r="BO104" s="637"/>
      <c r="BP104" s="637"/>
    </row>
    <row r="105" spans="2:68" s="245" customFormat="1">
      <c r="I105" s="674"/>
      <c r="J105" s="674"/>
      <c r="K105" s="674"/>
      <c r="L105" s="677"/>
      <c r="M105" s="682" t="s">
        <v>568</v>
      </c>
      <c r="N105" s="680">
        <v>8</v>
      </c>
      <c r="O105" s="964">
        <f>VLOOKUP(F4,M105:N110,2)</f>
        <v>8</v>
      </c>
      <c r="P105" s="677"/>
      <c r="Q105" s="677"/>
      <c r="R105" s="677"/>
      <c r="S105" s="677"/>
      <c r="T105" s="677"/>
      <c r="U105" s="677"/>
      <c r="V105" s="678"/>
      <c r="W105" s="678"/>
      <c r="X105" s="677"/>
      <c r="Y105" s="677"/>
      <c r="Z105" s="677"/>
      <c r="AA105" s="677"/>
      <c r="AB105" s="679"/>
      <c r="AC105" s="679"/>
      <c r="AD105" s="673"/>
      <c r="AE105" s="673"/>
      <c r="AF105" s="673"/>
      <c r="AG105" s="673"/>
      <c r="AH105" s="673"/>
      <c r="AI105" s="674"/>
      <c r="AJ105" s="674"/>
      <c r="AK105" s="674"/>
      <c r="AL105" s="674"/>
      <c r="AM105" s="674"/>
      <c r="AN105" s="674"/>
      <c r="AO105" s="674"/>
      <c r="AP105" s="674"/>
      <c r="AQ105" s="674"/>
      <c r="AR105" s="674"/>
      <c r="AS105" s="674"/>
      <c r="AT105" s="674"/>
      <c r="AU105" s="674"/>
      <c r="AV105" s="674"/>
      <c r="AW105" s="674"/>
      <c r="AX105" s="674"/>
      <c r="AY105" s="674"/>
      <c r="AZ105" s="674"/>
      <c r="BA105" s="674"/>
      <c r="BB105" s="674"/>
      <c r="BC105" s="637"/>
      <c r="BD105" s="637"/>
      <c r="BE105" s="637"/>
      <c r="BF105" s="637"/>
      <c r="BG105" s="637"/>
      <c r="BH105" s="637"/>
      <c r="BI105" s="637"/>
      <c r="BJ105" s="637"/>
      <c r="BK105" s="637"/>
      <c r="BL105" s="637"/>
      <c r="BM105" s="637"/>
      <c r="BN105" s="637"/>
      <c r="BO105" s="637"/>
      <c r="BP105" s="637"/>
    </row>
    <row r="106" spans="2:68" s="245" customFormat="1">
      <c r="I106" s="674"/>
      <c r="J106" s="674"/>
      <c r="K106" s="674"/>
      <c r="L106" s="677"/>
      <c r="M106" s="682" t="s">
        <v>569</v>
      </c>
      <c r="N106" s="680">
        <v>5</v>
      </c>
      <c r="O106" s="964"/>
      <c r="P106" s="677"/>
      <c r="Q106" s="677"/>
      <c r="R106" s="677"/>
      <c r="S106" s="677"/>
      <c r="T106" s="677"/>
      <c r="U106" s="677"/>
      <c r="V106" s="678"/>
      <c r="W106" s="678"/>
      <c r="X106" s="677"/>
      <c r="Y106" s="677"/>
      <c r="Z106" s="677"/>
      <c r="AA106" s="677"/>
      <c r="AB106" s="679"/>
      <c r="AC106" s="679"/>
      <c r="AD106" s="673"/>
      <c r="AE106" s="673"/>
      <c r="AF106" s="673"/>
      <c r="AG106" s="673"/>
      <c r="AH106" s="673"/>
      <c r="AI106" s="674"/>
      <c r="AJ106" s="674"/>
      <c r="AK106" s="674"/>
      <c r="AL106" s="674"/>
      <c r="AM106" s="674"/>
      <c r="AN106" s="674"/>
      <c r="AO106" s="674"/>
      <c r="AP106" s="674"/>
      <c r="AQ106" s="674"/>
      <c r="AR106" s="674"/>
      <c r="AS106" s="674"/>
      <c r="AT106" s="674"/>
      <c r="AU106" s="674"/>
      <c r="AV106" s="674"/>
      <c r="AW106" s="674"/>
      <c r="AX106" s="674"/>
      <c r="AY106" s="674"/>
      <c r="AZ106" s="674"/>
      <c r="BA106" s="674"/>
      <c r="BB106" s="674"/>
      <c r="BC106" s="637"/>
      <c r="BD106" s="637"/>
      <c r="BE106" s="637"/>
      <c r="BF106" s="637"/>
      <c r="BG106" s="637"/>
      <c r="BH106" s="637"/>
      <c r="BI106" s="637"/>
      <c r="BJ106" s="637"/>
      <c r="BK106" s="637"/>
      <c r="BL106" s="637"/>
      <c r="BM106" s="637"/>
      <c r="BN106" s="637"/>
      <c r="BO106" s="637"/>
      <c r="BP106" s="637"/>
    </row>
    <row r="107" spans="2:68" s="245" customFormat="1">
      <c r="I107" s="674"/>
      <c r="J107" s="674"/>
      <c r="K107" s="674"/>
      <c r="L107" s="677"/>
      <c r="M107" s="682" t="s">
        <v>570</v>
      </c>
      <c r="N107" s="680">
        <v>13</v>
      </c>
      <c r="O107" s="964"/>
      <c r="P107" s="677"/>
      <c r="Q107" s="677"/>
      <c r="R107" s="677"/>
      <c r="S107" s="677"/>
      <c r="T107" s="677"/>
      <c r="U107" s="677"/>
      <c r="V107" s="678"/>
      <c r="W107" s="678"/>
      <c r="X107" s="677"/>
      <c r="Y107" s="677"/>
      <c r="Z107" s="677"/>
      <c r="AA107" s="677"/>
      <c r="AB107" s="679"/>
      <c r="AC107" s="679"/>
      <c r="AD107" s="673"/>
      <c r="AE107" s="673"/>
      <c r="AF107" s="673"/>
      <c r="AG107" s="673"/>
      <c r="AH107" s="673"/>
      <c r="AI107" s="674"/>
      <c r="AJ107" s="674"/>
      <c r="AK107" s="674"/>
      <c r="AL107" s="674"/>
      <c r="AM107" s="674"/>
      <c r="AN107" s="674"/>
      <c r="AO107" s="674"/>
      <c r="AP107" s="674"/>
      <c r="AQ107" s="674"/>
      <c r="AR107" s="674"/>
      <c r="AS107" s="674"/>
      <c r="AT107" s="674"/>
      <c r="AU107" s="674"/>
      <c r="AV107" s="674"/>
      <c r="AW107" s="674"/>
      <c r="AX107" s="674"/>
      <c r="AY107" s="674"/>
      <c r="AZ107" s="674"/>
      <c r="BA107" s="674"/>
      <c r="BB107" s="674"/>
      <c r="BC107" s="637"/>
      <c r="BD107" s="637"/>
      <c r="BE107" s="637"/>
      <c r="BF107" s="637"/>
      <c r="BG107" s="637"/>
      <c r="BH107" s="637"/>
      <c r="BI107" s="637"/>
      <c r="BJ107" s="637"/>
      <c r="BK107" s="637"/>
      <c r="BL107" s="637"/>
      <c r="BM107" s="637"/>
      <c r="BN107" s="637"/>
      <c r="BO107" s="637"/>
      <c r="BP107" s="637"/>
    </row>
    <row r="108" spans="2:68" s="245" customFormat="1">
      <c r="I108" s="674"/>
      <c r="J108" s="674"/>
      <c r="K108" s="674"/>
      <c r="L108" s="677"/>
      <c r="M108" s="682" t="s">
        <v>571</v>
      </c>
      <c r="N108" s="684">
        <v>10</v>
      </c>
      <c r="O108" s="964"/>
      <c r="P108" s="677"/>
      <c r="Q108" s="677"/>
      <c r="R108" s="677"/>
      <c r="S108" s="677"/>
      <c r="T108" s="677"/>
      <c r="U108" s="677"/>
      <c r="V108" s="678"/>
      <c r="W108" s="678"/>
      <c r="X108" s="677"/>
      <c r="Y108" s="677"/>
      <c r="Z108" s="677"/>
      <c r="AA108" s="677"/>
      <c r="AB108" s="679"/>
      <c r="AC108" s="679"/>
      <c r="AD108" s="673"/>
      <c r="AE108" s="673"/>
      <c r="AF108" s="673"/>
      <c r="AG108" s="673"/>
      <c r="AH108" s="673"/>
      <c r="AI108" s="674"/>
      <c r="AJ108" s="674"/>
      <c r="AK108" s="674"/>
      <c r="AL108" s="674"/>
      <c r="AM108" s="674"/>
      <c r="AN108" s="674"/>
      <c r="AO108" s="674"/>
      <c r="AP108" s="674"/>
      <c r="AQ108" s="674"/>
      <c r="AR108" s="674"/>
      <c r="AS108" s="674"/>
      <c r="AT108" s="674"/>
      <c r="AU108" s="674"/>
      <c r="AV108" s="674"/>
      <c r="AW108" s="674"/>
      <c r="AX108" s="674"/>
      <c r="AY108" s="674"/>
      <c r="AZ108" s="674"/>
      <c r="BA108" s="674"/>
      <c r="BB108" s="674"/>
      <c r="BC108" s="637"/>
      <c r="BD108" s="637"/>
      <c r="BE108" s="637"/>
      <c r="BF108" s="637"/>
      <c r="BG108" s="637"/>
      <c r="BH108" s="637"/>
      <c r="BI108" s="637"/>
      <c r="BJ108" s="637"/>
      <c r="BK108" s="637"/>
      <c r="BL108" s="637"/>
      <c r="BM108" s="637"/>
      <c r="BN108" s="637"/>
      <c r="BO108" s="637"/>
      <c r="BP108" s="637"/>
    </row>
    <row r="109" spans="2:68" s="245" customFormat="1">
      <c r="I109" s="674"/>
      <c r="J109" s="674"/>
      <c r="K109" s="674"/>
      <c r="L109" s="677"/>
      <c r="M109" s="683" t="s">
        <v>572</v>
      </c>
      <c r="N109" s="678">
        <v>3</v>
      </c>
      <c r="O109" s="964"/>
      <c r="P109" s="677"/>
      <c r="Q109" s="677"/>
      <c r="R109" s="677"/>
      <c r="S109" s="677"/>
      <c r="T109" s="677"/>
      <c r="U109" s="677"/>
      <c r="V109" s="678"/>
      <c r="W109" s="678"/>
      <c r="X109" s="677"/>
      <c r="Y109" s="677"/>
      <c r="Z109" s="677"/>
      <c r="AA109" s="677"/>
      <c r="AB109" s="679"/>
      <c r="AC109" s="679"/>
      <c r="AD109" s="673"/>
      <c r="AE109" s="673"/>
      <c r="AF109" s="673"/>
      <c r="AG109" s="673"/>
      <c r="AH109" s="673"/>
      <c r="AI109" s="674"/>
      <c r="AJ109" s="674"/>
      <c r="AK109" s="674"/>
      <c r="AL109" s="674"/>
      <c r="AM109" s="674"/>
      <c r="AN109" s="674"/>
      <c r="AO109" s="674"/>
      <c r="AP109" s="674"/>
      <c r="AQ109" s="674"/>
      <c r="AR109" s="674"/>
      <c r="AS109" s="674"/>
      <c r="AT109" s="674"/>
      <c r="AU109" s="674"/>
      <c r="AV109" s="674"/>
      <c r="AW109" s="674"/>
      <c r="AX109" s="674"/>
      <c r="AY109" s="674"/>
      <c r="AZ109" s="674"/>
      <c r="BA109" s="674"/>
      <c r="BB109" s="674"/>
      <c r="BC109" s="637"/>
      <c r="BD109" s="637"/>
      <c r="BE109" s="637"/>
      <c r="BF109" s="637"/>
      <c r="BG109" s="637"/>
      <c r="BH109" s="637"/>
      <c r="BI109" s="637"/>
      <c r="BJ109" s="637"/>
      <c r="BK109" s="637"/>
      <c r="BL109" s="637"/>
      <c r="BM109" s="637"/>
      <c r="BN109" s="637"/>
      <c r="BO109" s="637"/>
      <c r="BP109" s="637"/>
    </row>
    <row r="110" spans="2:68" s="245" customFormat="1">
      <c r="I110" s="674"/>
      <c r="J110" s="674"/>
      <c r="K110" s="674"/>
      <c r="L110" s="677"/>
      <c r="M110" s="683" t="s">
        <v>573</v>
      </c>
      <c r="N110" s="678">
        <v>0</v>
      </c>
      <c r="O110" s="964"/>
      <c r="P110" s="677"/>
      <c r="Q110" s="677"/>
      <c r="R110" s="677"/>
      <c r="S110" s="677"/>
      <c r="T110" s="677"/>
      <c r="U110" s="677"/>
      <c r="V110" s="678"/>
      <c r="W110" s="678"/>
      <c r="X110" s="677"/>
      <c r="Y110" s="677"/>
      <c r="Z110" s="677"/>
      <c r="AA110" s="677"/>
      <c r="AB110" s="679"/>
      <c r="AC110" s="679"/>
      <c r="AD110" s="673"/>
      <c r="AE110" s="673"/>
      <c r="AF110" s="673"/>
      <c r="AG110" s="673"/>
      <c r="AH110" s="673"/>
      <c r="AI110" s="674"/>
      <c r="AJ110" s="674"/>
      <c r="AK110" s="674"/>
      <c r="AL110" s="674"/>
      <c r="AM110" s="674"/>
      <c r="AN110" s="674"/>
      <c r="AO110" s="674"/>
      <c r="AP110" s="674"/>
      <c r="AQ110" s="674"/>
      <c r="AR110" s="674"/>
      <c r="AS110" s="674"/>
      <c r="AT110" s="674"/>
      <c r="AU110" s="674"/>
      <c r="AV110" s="674"/>
      <c r="AW110" s="674"/>
      <c r="AX110" s="674"/>
      <c r="AY110" s="674"/>
      <c r="AZ110" s="674"/>
      <c r="BA110" s="674"/>
      <c r="BB110" s="674"/>
      <c r="BC110" s="637"/>
      <c r="BD110" s="637"/>
      <c r="BE110" s="637"/>
      <c r="BF110" s="637"/>
      <c r="BG110" s="637"/>
      <c r="BH110" s="637"/>
      <c r="BI110" s="637"/>
      <c r="BJ110" s="637"/>
      <c r="BK110" s="637"/>
      <c r="BL110" s="637"/>
      <c r="BM110" s="637"/>
      <c r="BN110" s="637"/>
      <c r="BO110" s="637"/>
      <c r="BP110" s="637"/>
    </row>
    <row r="111" spans="2:68" s="245" customFormat="1">
      <c r="J111" s="687"/>
      <c r="K111" s="686"/>
      <c r="L111" s="677"/>
      <c r="M111" s="677"/>
      <c r="N111" s="677"/>
      <c r="O111" s="677"/>
      <c r="P111" s="677"/>
      <c r="Q111" s="677"/>
      <c r="R111" s="677"/>
      <c r="S111" s="677"/>
      <c r="T111" s="677"/>
      <c r="U111" s="677"/>
      <c r="V111" s="678"/>
      <c r="W111" s="678"/>
      <c r="X111" s="677"/>
      <c r="Y111" s="677"/>
      <c r="Z111" s="677"/>
      <c r="AA111" s="677"/>
      <c r="AB111" s="679"/>
      <c r="AC111" s="679"/>
      <c r="AD111" s="673"/>
      <c r="AE111" s="673"/>
      <c r="AF111" s="673"/>
      <c r="AG111" s="673"/>
      <c r="AH111" s="673"/>
      <c r="AI111" s="674"/>
      <c r="AJ111" s="674"/>
      <c r="AK111" s="674"/>
      <c r="AL111" s="674"/>
      <c r="AM111" s="674"/>
      <c r="AN111" s="674"/>
      <c r="AO111" s="674"/>
      <c r="AP111" s="674"/>
      <c r="AQ111" s="674"/>
      <c r="AR111" s="674"/>
      <c r="AS111" s="674"/>
      <c r="AT111" s="674"/>
      <c r="AU111" s="674"/>
      <c r="AV111" s="674"/>
      <c r="AW111" s="674"/>
      <c r="AX111" s="674"/>
      <c r="AY111" s="674"/>
      <c r="AZ111" s="674"/>
      <c r="BA111" s="674"/>
      <c r="BB111" s="674"/>
      <c r="BC111" s="637"/>
      <c r="BD111" s="637"/>
      <c r="BE111" s="637"/>
      <c r="BF111" s="637"/>
      <c r="BG111" s="637"/>
      <c r="BH111" s="637"/>
      <c r="BI111" s="637"/>
      <c r="BJ111" s="637"/>
      <c r="BK111" s="637"/>
      <c r="BL111" s="637"/>
      <c r="BM111" s="637"/>
      <c r="BN111" s="637"/>
      <c r="BO111" s="637"/>
      <c r="BP111" s="637"/>
    </row>
    <row r="112" spans="2:68" s="245" customFormat="1">
      <c r="J112" s="687"/>
      <c r="K112" s="686"/>
      <c r="L112" s="677"/>
      <c r="M112" s="677"/>
      <c r="N112" s="677"/>
      <c r="O112" s="677"/>
      <c r="P112" s="677"/>
      <c r="Q112" s="677"/>
      <c r="R112" s="677"/>
      <c r="S112" s="677"/>
      <c r="T112" s="677"/>
      <c r="U112" s="677"/>
      <c r="V112" s="678"/>
      <c r="W112" s="678"/>
      <c r="X112" s="677"/>
      <c r="Y112" s="677"/>
      <c r="Z112" s="677"/>
      <c r="AA112" s="677"/>
      <c r="AB112" s="679"/>
      <c r="AC112" s="679"/>
      <c r="AD112" s="673"/>
      <c r="AE112" s="673"/>
      <c r="AF112" s="673"/>
      <c r="AG112" s="673"/>
      <c r="AH112" s="673"/>
      <c r="AI112" s="674"/>
      <c r="AJ112" s="674"/>
      <c r="AK112" s="674"/>
      <c r="AL112" s="674"/>
      <c r="AM112" s="674"/>
      <c r="AN112" s="674"/>
      <c r="AO112" s="674"/>
      <c r="AP112" s="674"/>
      <c r="AQ112" s="674"/>
      <c r="AR112" s="674"/>
      <c r="AS112" s="674"/>
      <c r="AT112" s="674"/>
      <c r="AU112" s="674"/>
      <c r="AV112" s="674"/>
      <c r="AW112" s="674"/>
      <c r="AX112" s="674"/>
      <c r="AY112" s="674"/>
      <c r="AZ112" s="674"/>
      <c r="BA112" s="674"/>
      <c r="BB112" s="674"/>
      <c r="BC112" s="637"/>
      <c r="BD112" s="637"/>
      <c r="BE112" s="637"/>
      <c r="BF112" s="637"/>
      <c r="BG112" s="637"/>
      <c r="BH112" s="637"/>
      <c r="BI112" s="637"/>
      <c r="BJ112" s="637"/>
      <c r="BK112" s="637"/>
      <c r="BL112" s="637"/>
      <c r="BM112" s="637"/>
      <c r="BN112" s="637"/>
      <c r="BO112" s="637"/>
      <c r="BP112" s="637"/>
    </row>
    <row r="113" spans="10:68" s="245" customFormat="1">
      <c r="J113" s="687"/>
      <c r="K113" s="686"/>
      <c r="L113" s="677"/>
      <c r="M113" s="677"/>
      <c r="N113" s="677"/>
      <c r="O113" s="677"/>
      <c r="P113" s="677"/>
      <c r="Q113" s="677"/>
      <c r="R113" s="677"/>
      <c r="S113" s="677"/>
      <c r="T113" s="677"/>
      <c r="U113" s="677"/>
      <c r="V113" s="678"/>
      <c r="W113" s="678"/>
      <c r="X113" s="677"/>
      <c r="Y113" s="677"/>
      <c r="Z113" s="677"/>
      <c r="AA113" s="677"/>
      <c r="AB113" s="679"/>
      <c r="AC113" s="679"/>
      <c r="AD113" s="673"/>
      <c r="AE113" s="673"/>
      <c r="AF113" s="673"/>
      <c r="AG113" s="673"/>
      <c r="AH113" s="673"/>
      <c r="AI113" s="674"/>
      <c r="AJ113" s="674"/>
      <c r="AK113" s="674"/>
      <c r="AL113" s="674"/>
      <c r="AM113" s="674"/>
      <c r="AN113" s="674"/>
      <c r="AO113" s="674"/>
      <c r="AP113" s="674"/>
      <c r="AQ113" s="674"/>
      <c r="AR113" s="674"/>
      <c r="AS113" s="674"/>
      <c r="AT113" s="674"/>
      <c r="AU113" s="674"/>
      <c r="AV113" s="674"/>
      <c r="AW113" s="674"/>
      <c r="AX113" s="674"/>
      <c r="AY113" s="674"/>
      <c r="AZ113" s="674"/>
      <c r="BA113" s="674"/>
      <c r="BB113" s="674"/>
      <c r="BC113" s="637"/>
      <c r="BD113" s="637"/>
      <c r="BE113" s="637"/>
      <c r="BF113" s="637"/>
      <c r="BG113" s="637"/>
      <c r="BH113" s="637"/>
      <c r="BI113" s="637"/>
      <c r="BJ113" s="637"/>
      <c r="BK113" s="637"/>
      <c r="BL113" s="637"/>
      <c r="BM113" s="637"/>
      <c r="BN113" s="637"/>
      <c r="BO113" s="637"/>
      <c r="BP113" s="637"/>
    </row>
    <row r="114" spans="10:68" s="245" customFormat="1">
      <c r="K114" s="686"/>
      <c r="L114" s="677"/>
      <c r="M114" s="677"/>
      <c r="N114" s="677"/>
      <c r="O114" s="677"/>
      <c r="P114" s="677"/>
      <c r="Q114" s="677"/>
      <c r="R114" s="677"/>
      <c r="S114" s="677"/>
      <c r="T114" s="677"/>
      <c r="U114" s="677"/>
      <c r="V114" s="678"/>
      <c r="W114" s="678"/>
      <c r="X114" s="677"/>
      <c r="Y114" s="677"/>
      <c r="Z114" s="677"/>
      <c r="AA114" s="677"/>
      <c r="AB114" s="679"/>
      <c r="AC114" s="679"/>
      <c r="AD114" s="673"/>
      <c r="AE114" s="673"/>
      <c r="AF114" s="673"/>
      <c r="AG114" s="673"/>
      <c r="AH114" s="673"/>
      <c r="AI114" s="674"/>
      <c r="AJ114" s="674"/>
      <c r="AK114" s="674"/>
      <c r="AL114" s="674"/>
      <c r="AM114" s="674"/>
      <c r="AN114" s="674"/>
      <c r="AO114" s="674"/>
      <c r="AP114" s="674"/>
      <c r="AQ114" s="674"/>
      <c r="AR114" s="674"/>
      <c r="AS114" s="674"/>
      <c r="AT114" s="674"/>
      <c r="AU114" s="674"/>
      <c r="AV114" s="674"/>
      <c r="AW114" s="674"/>
      <c r="AX114" s="674"/>
      <c r="AY114" s="674"/>
      <c r="AZ114" s="674"/>
      <c r="BA114" s="674"/>
      <c r="BB114" s="674"/>
      <c r="BC114" s="637"/>
      <c r="BD114" s="637"/>
      <c r="BE114" s="637"/>
      <c r="BF114" s="637"/>
      <c r="BG114" s="637"/>
      <c r="BH114" s="637"/>
      <c r="BI114" s="637"/>
      <c r="BJ114" s="637"/>
      <c r="BK114" s="637"/>
      <c r="BL114" s="637"/>
      <c r="BM114" s="637"/>
      <c r="BN114" s="637"/>
      <c r="BO114" s="637"/>
      <c r="BP114" s="637"/>
    </row>
    <row r="115" spans="10:68" s="245" customFormat="1">
      <c r="K115" s="686"/>
      <c r="L115" s="677"/>
      <c r="M115" s="677"/>
      <c r="N115" s="677"/>
      <c r="O115" s="677"/>
      <c r="P115" s="677"/>
      <c r="Q115" s="677"/>
      <c r="R115" s="677"/>
      <c r="S115" s="677"/>
      <c r="T115" s="677"/>
      <c r="U115" s="677"/>
      <c r="V115" s="678"/>
      <c r="W115" s="678"/>
      <c r="X115" s="677"/>
      <c r="Y115" s="677"/>
      <c r="Z115" s="677"/>
      <c r="AA115" s="677"/>
      <c r="AB115" s="679"/>
      <c r="AC115" s="679"/>
      <c r="AD115" s="673"/>
      <c r="AE115" s="673"/>
      <c r="AF115" s="673"/>
      <c r="AG115" s="673"/>
      <c r="AH115" s="673"/>
      <c r="AI115" s="674"/>
      <c r="AJ115" s="674"/>
      <c r="AK115" s="674"/>
      <c r="AL115" s="674"/>
      <c r="AM115" s="674"/>
      <c r="AN115" s="674"/>
      <c r="AO115" s="674"/>
      <c r="AP115" s="674"/>
      <c r="AQ115" s="674"/>
      <c r="AR115" s="674"/>
      <c r="AS115" s="674"/>
      <c r="AT115" s="674"/>
      <c r="AU115" s="674"/>
      <c r="AV115" s="674"/>
      <c r="AW115" s="674"/>
      <c r="AX115" s="674"/>
      <c r="AY115" s="674"/>
      <c r="AZ115" s="674"/>
      <c r="BA115" s="674"/>
      <c r="BB115" s="674"/>
      <c r="BC115" s="637"/>
      <c r="BD115" s="637"/>
      <c r="BE115" s="637"/>
      <c r="BF115" s="637"/>
      <c r="BG115" s="637"/>
      <c r="BH115" s="637"/>
      <c r="BI115" s="637"/>
      <c r="BJ115" s="637"/>
      <c r="BK115" s="637"/>
      <c r="BL115" s="637"/>
      <c r="BM115" s="637"/>
      <c r="BN115" s="637"/>
      <c r="BO115" s="637"/>
      <c r="BP115" s="637"/>
    </row>
    <row r="116" spans="10:68" s="245" customFormat="1">
      <c r="K116" s="686"/>
      <c r="L116" s="677"/>
      <c r="M116" s="677"/>
      <c r="N116" s="677"/>
      <c r="O116" s="677"/>
      <c r="P116" s="677"/>
      <c r="Q116" s="677"/>
      <c r="R116" s="677"/>
      <c r="S116" s="677"/>
      <c r="T116" s="677"/>
      <c r="U116" s="677"/>
      <c r="V116" s="678"/>
      <c r="W116" s="678"/>
      <c r="X116" s="677"/>
      <c r="Y116" s="677"/>
      <c r="Z116" s="677"/>
      <c r="AA116" s="677"/>
      <c r="AB116" s="679"/>
      <c r="AC116" s="679"/>
      <c r="AD116" s="673"/>
      <c r="AE116" s="673"/>
      <c r="AF116" s="673"/>
      <c r="AG116" s="673"/>
      <c r="AH116" s="673"/>
      <c r="AI116" s="674"/>
      <c r="AJ116" s="674"/>
      <c r="AK116" s="674"/>
      <c r="AL116" s="674"/>
      <c r="AM116" s="674"/>
      <c r="AN116" s="674"/>
      <c r="AO116" s="674"/>
      <c r="AP116" s="674"/>
      <c r="AQ116" s="674"/>
      <c r="AR116" s="674"/>
      <c r="AS116" s="674"/>
      <c r="AT116" s="674"/>
      <c r="AU116" s="674"/>
      <c r="AV116" s="674"/>
      <c r="AW116" s="674"/>
      <c r="AX116" s="674"/>
      <c r="AY116" s="674"/>
      <c r="AZ116" s="674"/>
      <c r="BA116" s="674"/>
      <c r="BB116" s="674"/>
      <c r="BC116" s="637"/>
      <c r="BD116" s="637"/>
      <c r="BE116" s="637"/>
      <c r="BF116" s="637"/>
      <c r="BG116" s="637"/>
      <c r="BH116" s="637"/>
      <c r="BI116" s="637"/>
      <c r="BJ116" s="637"/>
      <c r="BK116" s="637"/>
      <c r="BL116" s="637"/>
      <c r="BM116" s="637"/>
      <c r="BN116" s="637"/>
      <c r="BO116" s="637"/>
      <c r="BP116" s="637"/>
    </row>
    <row r="117" spans="10:68" s="245" customFormat="1">
      <c r="L117" s="677"/>
      <c r="M117" s="677"/>
      <c r="N117" s="677"/>
      <c r="O117" s="677"/>
      <c r="P117" s="677"/>
      <c r="Q117" s="677"/>
      <c r="R117" s="677"/>
      <c r="S117" s="677"/>
      <c r="T117" s="677"/>
      <c r="U117" s="677"/>
      <c r="V117" s="678"/>
      <c r="W117" s="678"/>
      <c r="X117" s="677"/>
      <c r="Y117" s="677"/>
      <c r="Z117" s="677"/>
      <c r="AA117" s="677"/>
      <c r="AB117" s="679"/>
      <c r="AC117" s="679"/>
      <c r="AD117" s="673"/>
      <c r="AE117" s="673"/>
      <c r="AF117" s="673"/>
      <c r="AG117" s="673"/>
      <c r="AH117" s="673"/>
      <c r="AI117" s="674"/>
      <c r="AJ117" s="674"/>
      <c r="AK117" s="674"/>
      <c r="AL117" s="674"/>
      <c r="AM117" s="674"/>
      <c r="AN117" s="674"/>
      <c r="AO117" s="674"/>
      <c r="AP117" s="674"/>
      <c r="AQ117" s="674"/>
      <c r="AR117" s="674"/>
      <c r="AS117" s="674"/>
      <c r="AT117" s="674"/>
      <c r="AU117" s="674"/>
      <c r="AV117" s="674"/>
      <c r="AW117" s="674"/>
      <c r="AX117" s="674"/>
      <c r="AY117" s="674"/>
      <c r="AZ117" s="674"/>
      <c r="BA117" s="674"/>
      <c r="BB117" s="674"/>
      <c r="BC117" s="637"/>
      <c r="BD117" s="637"/>
      <c r="BE117" s="637"/>
      <c r="BF117" s="637"/>
      <c r="BG117" s="637"/>
      <c r="BH117" s="637"/>
      <c r="BI117" s="637"/>
      <c r="BJ117" s="637"/>
      <c r="BK117" s="637"/>
      <c r="BL117" s="637"/>
      <c r="BM117" s="637"/>
      <c r="BN117" s="637"/>
      <c r="BO117" s="637"/>
      <c r="BP117" s="637"/>
    </row>
    <row r="118" spans="10:68" s="245" customFormat="1">
      <c r="L118" s="677"/>
      <c r="M118" s="681"/>
      <c r="N118" s="677"/>
      <c r="O118" s="677"/>
      <c r="P118" s="677"/>
      <c r="Q118" s="677"/>
      <c r="R118" s="677"/>
      <c r="S118" s="677"/>
      <c r="T118" s="677"/>
      <c r="U118" s="677"/>
      <c r="V118" s="678"/>
      <c r="W118" s="678"/>
      <c r="X118" s="677"/>
      <c r="Y118" s="677"/>
      <c r="Z118" s="677"/>
      <c r="AA118" s="677"/>
      <c r="AB118" s="679"/>
      <c r="AC118" s="679"/>
      <c r="AD118" s="673"/>
      <c r="AE118" s="673"/>
      <c r="AF118" s="673"/>
      <c r="AG118" s="673"/>
      <c r="AH118" s="673"/>
      <c r="AI118" s="674"/>
      <c r="AJ118" s="674"/>
      <c r="AK118" s="674"/>
      <c r="AL118" s="674"/>
      <c r="AM118" s="674"/>
      <c r="AN118" s="674"/>
      <c r="AO118" s="674"/>
      <c r="AP118" s="674"/>
      <c r="AQ118" s="674"/>
      <c r="AR118" s="674"/>
      <c r="AS118" s="674"/>
      <c r="AT118" s="674"/>
      <c r="AU118" s="674"/>
      <c r="AV118" s="674"/>
      <c r="AW118" s="674"/>
      <c r="AX118" s="674"/>
      <c r="AY118" s="674"/>
      <c r="AZ118" s="674"/>
      <c r="BA118" s="674"/>
      <c r="BB118" s="674"/>
      <c r="BC118" s="637"/>
      <c r="BD118" s="637"/>
      <c r="BE118" s="637"/>
      <c r="BF118" s="637"/>
      <c r="BG118" s="637"/>
      <c r="BH118" s="637"/>
      <c r="BI118" s="637"/>
      <c r="BJ118" s="637"/>
      <c r="BK118" s="637"/>
      <c r="BL118" s="637"/>
      <c r="BM118" s="637"/>
      <c r="BN118" s="637"/>
      <c r="BO118" s="637"/>
      <c r="BP118" s="637"/>
    </row>
    <row r="119" spans="10:68" s="245" customFormat="1">
      <c r="L119" s="677"/>
      <c r="M119" s="677"/>
      <c r="N119" s="677"/>
      <c r="O119" s="677"/>
      <c r="P119" s="677"/>
      <c r="Q119" s="677"/>
      <c r="R119" s="677"/>
      <c r="S119" s="677"/>
      <c r="T119" s="677"/>
      <c r="U119" s="677"/>
      <c r="V119" s="678"/>
      <c r="W119" s="678"/>
      <c r="X119" s="677"/>
      <c r="Y119" s="677"/>
      <c r="Z119" s="677"/>
      <c r="AA119" s="677"/>
      <c r="AB119" s="679"/>
      <c r="AC119" s="679"/>
      <c r="AD119" s="673"/>
      <c r="AE119" s="673"/>
      <c r="AF119" s="673"/>
      <c r="AG119" s="673"/>
      <c r="AH119" s="673"/>
      <c r="AI119" s="674"/>
      <c r="AJ119" s="674"/>
      <c r="AK119" s="674"/>
      <c r="AL119" s="674"/>
      <c r="AM119" s="674"/>
      <c r="AN119" s="674"/>
      <c r="AO119" s="674"/>
      <c r="AP119" s="674"/>
      <c r="AQ119" s="674"/>
      <c r="AR119" s="674"/>
      <c r="AS119" s="674"/>
      <c r="AT119" s="674"/>
      <c r="AU119" s="674"/>
      <c r="AV119" s="674"/>
      <c r="AW119" s="674"/>
      <c r="AX119" s="674"/>
      <c r="AY119" s="674"/>
      <c r="AZ119" s="674"/>
      <c r="BA119" s="674"/>
      <c r="BB119" s="674"/>
      <c r="BC119" s="637"/>
      <c r="BD119" s="637"/>
      <c r="BE119" s="637"/>
      <c r="BF119" s="637"/>
      <c r="BG119" s="637"/>
      <c r="BH119" s="637"/>
      <c r="BI119" s="637"/>
      <c r="BJ119" s="637"/>
      <c r="BK119" s="637"/>
      <c r="BL119" s="637"/>
      <c r="BM119" s="637"/>
      <c r="BN119" s="637"/>
      <c r="BO119" s="637"/>
      <c r="BP119" s="637"/>
    </row>
    <row r="120" spans="10:68" s="245" customFormat="1">
      <c r="L120" s="677"/>
      <c r="M120" s="677"/>
      <c r="N120" s="677"/>
      <c r="O120" s="677"/>
      <c r="P120" s="677"/>
      <c r="Q120" s="677"/>
      <c r="R120" s="677"/>
      <c r="S120" s="677"/>
      <c r="T120" s="677"/>
      <c r="U120" s="677"/>
      <c r="V120" s="678"/>
      <c r="W120" s="678"/>
      <c r="X120" s="677"/>
      <c r="Y120" s="677"/>
      <c r="Z120" s="677"/>
      <c r="AA120" s="677"/>
      <c r="AB120" s="679"/>
      <c r="AC120" s="679"/>
      <c r="AD120" s="673"/>
      <c r="AE120" s="673"/>
      <c r="AF120" s="673"/>
      <c r="AG120" s="673"/>
      <c r="AH120" s="673"/>
      <c r="AI120" s="674"/>
      <c r="AJ120" s="674"/>
      <c r="AK120" s="674"/>
      <c r="AL120" s="674"/>
      <c r="AM120" s="674"/>
      <c r="AN120" s="674"/>
      <c r="AO120" s="674"/>
      <c r="AP120" s="674"/>
      <c r="AQ120" s="674"/>
      <c r="AR120" s="674"/>
      <c r="AS120" s="674"/>
      <c r="AT120" s="674"/>
      <c r="AU120" s="674"/>
      <c r="AV120" s="674"/>
      <c r="AW120" s="674"/>
      <c r="AX120" s="674"/>
      <c r="AY120" s="674"/>
      <c r="AZ120" s="674"/>
      <c r="BA120" s="674"/>
      <c r="BB120" s="674"/>
      <c r="BC120" s="637"/>
      <c r="BD120" s="637"/>
      <c r="BE120" s="637"/>
      <c r="BF120" s="637"/>
      <c r="BG120" s="637"/>
      <c r="BH120" s="637"/>
      <c r="BI120" s="637"/>
      <c r="BJ120" s="637"/>
      <c r="BK120" s="637"/>
      <c r="BL120" s="637"/>
      <c r="BM120" s="637"/>
      <c r="BN120" s="637"/>
      <c r="BO120" s="637"/>
      <c r="BP120" s="637"/>
    </row>
    <row r="121" spans="10:68" s="245" customFormat="1">
      <c r="L121" s="677"/>
      <c r="M121" s="677"/>
      <c r="N121" s="677"/>
      <c r="O121" s="677"/>
      <c r="P121" s="677"/>
      <c r="Q121" s="677"/>
      <c r="R121" s="677"/>
      <c r="S121" s="677"/>
      <c r="T121" s="677"/>
      <c r="U121" s="677"/>
      <c r="V121" s="678"/>
      <c r="W121" s="678"/>
      <c r="X121" s="677"/>
      <c r="Y121" s="677"/>
      <c r="Z121" s="677"/>
      <c r="AA121" s="677"/>
      <c r="AB121" s="679"/>
      <c r="AC121" s="679"/>
      <c r="AD121" s="673"/>
      <c r="AE121" s="673"/>
      <c r="AF121" s="673"/>
      <c r="AG121" s="673"/>
      <c r="AH121" s="673"/>
      <c r="AI121" s="674"/>
      <c r="AJ121" s="674"/>
      <c r="AK121" s="674"/>
      <c r="AL121" s="674"/>
      <c r="AM121" s="674"/>
      <c r="AN121" s="674"/>
      <c r="AO121" s="674"/>
      <c r="AP121" s="674"/>
      <c r="AQ121" s="674"/>
      <c r="AR121" s="674"/>
      <c r="AS121" s="674"/>
      <c r="AT121" s="674"/>
      <c r="AU121" s="674"/>
      <c r="AV121" s="674"/>
      <c r="AW121" s="674"/>
      <c r="AX121" s="674"/>
      <c r="AY121" s="674"/>
      <c r="AZ121" s="674"/>
      <c r="BA121" s="674"/>
      <c r="BB121" s="674"/>
      <c r="BC121" s="637"/>
      <c r="BD121" s="637"/>
      <c r="BE121" s="637"/>
      <c r="BF121" s="637"/>
      <c r="BG121" s="637"/>
      <c r="BH121" s="637"/>
      <c r="BI121" s="637"/>
      <c r="BJ121" s="637"/>
      <c r="BK121" s="637"/>
      <c r="BL121" s="637"/>
      <c r="BM121" s="637"/>
      <c r="BN121" s="637"/>
      <c r="BO121" s="637"/>
      <c r="BP121" s="637"/>
    </row>
    <row r="122" spans="10:68" s="245" customFormat="1">
      <c r="L122" s="677"/>
      <c r="M122" s="677"/>
      <c r="N122" s="677"/>
      <c r="O122" s="677"/>
      <c r="P122" s="677"/>
      <c r="Q122" s="677"/>
      <c r="R122" s="677"/>
      <c r="S122" s="677"/>
      <c r="T122" s="677"/>
      <c r="U122" s="677"/>
      <c r="V122" s="678"/>
      <c r="W122" s="678"/>
      <c r="X122" s="677"/>
      <c r="Y122" s="677"/>
      <c r="Z122" s="677"/>
      <c r="AA122" s="677"/>
      <c r="AB122" s="679"/>
      <c r="AC122" s="679"/>
      <c r="AD122" s="673"/>
      <c r="AE122" s="673"/>
      <c r="AF122" s="673"/>
      <c r="AG122" s="673"/>
      <c r="AH122" s="673"/>
      <c r="AI122" s="674"/>
      <c r="AJ122" s="674"/>
      <c r="AK122" s="674"/>
      <c r="AL122" s="674"/>
      <c r="AM122" s="674"/>
      <c r="AN122" s="674"/>
      <c r="AO122" s="674"/>
      <c r="AP122" s="674"/>
      <c r="AQ122" s="674"/>
      <c r="AR122" s="674"/>
      <c r="AS122" s="674"/>
      <c r="AT122" s="674"/>
      <c r="AU122" s="674"/>
      <c r="AV122" s="674"/>
      <c r="AW122" s="674"/>
      <c r="AX122" s="674"/>
      <c r="AY122" s="674"/>
      <c r="AZ122" s="674"/>
      <c r="BA122" s="674"/>
      <c r="BB122" s="674"/>
      <c r="BC122" s="637"/>
      <c r="BD122" s="637"/>
      <c r="BE122" s="637"/>
      <c r="BF122" s="637"/>
      <c r="BG122" s="637"/>
      <c r="BH122" s="637"/>
      <c r="BI122" s="637"/>
      <c r="BJ122" s="637"/>
      <c r="BK122" s="637"/>
      <c r="BL122" s="637"/>
      <c r="BM122" s="637"/>
      <c r="BN122" s="637"/>
      <c r="BO122" s="637"/>
      <c r="BP122" s="637"/>
    </row>
    <row r="123" spans="10:68" s="245" customFormat="1">
      <c r="L123" s="677"/>
      <c r="M123" s="677"/>
      <c r="N123" s="677"/>
      <c r="O123" s="677"/>
      <c r="P123" s="677"/>
      <c r="Q123" s="677"/>
      <c r="R123" s="677"/>
      <c r="S123" s="677"/>
      <c r="T123" s="677"/>
      <c r="U123" s="677"/>
      <c r="V123" s="678"/>
      <c r="W123" s="678"/>
      <c r="X123" s="677"/>
      <c r="Y123" s="677"/>
      <c r="Z123" s="677"/>
      <c r="AA123" s="677"/>
      <c r="AB123" s="679"/>
      <c r="AC123" s="679"/>
      <c r="AD123" s="673"/>
      <c r="AE123" s="673"/>
      <c r="AF123" s="673"/>
      <c r="AG123" s="673"/>
      <c r="AH123" s="673"/>
      <c r="AI123" s="674"/>
      <c r="AJ123" s="674"/>
      <c r="AK123" s="674"/>
      <c r="AL123" s="674"/>
      <c r="AM123" s="674"/>
      <c r="AN123" s="674"/>
      <c r="AO123" s="674"/>
      <c r="AP123" s="674"/>
      <c r="AQ123" s="674"/>
      <c r="AR123" s="674"/>
      <c r="AS123" s="674"/>
      <c r="AT123" s="674"/>
      <c r="AU123" s="674"/>
      <c r="AV123" s="674"/>
      <c r="AW123" s="674"/>
      <c r="AX123" s="674"/>
      <c r="AY123" s="674"/>
      <c r="AZ123" s="674"/>
      <c r="BA123" s="674"/>
      <c r="BB123" s="674"/>
      <c r="BC123" s="637"/>
      <c r="BD123" s="637"/>
      <c r="BE123" s="637"/>
      <c r="BF123" s="637"/>
      <c r="BG123" s="637"/>
      <c r="BH123" s="637"/>
      <c r="BI123" s="637"/>
      <c r="BJ123" s="637"/>
      <c r="BK123" s="637"/>
      <c r="BL123" s="637"/>
      <c r="BM123" s="637"/>
      <c r="BN123" s="637"/>
      <c r="BO123" s="637"/>
      <c r="BP123" s="637"/>
    </row>
    <row r="124" spans="10:68" s="245" customFormat="1">
      <c r="L124" s="677"/>
      <c r="M124" s="677"/>
      <c r="N124" s="677"/>
      <c r="O124" s="677"/>
      <c r="P124" s="677"/>
      <c r="Q124" s="677"/>
      <c r="R124" s="677"/>
      <c r="S124" s="677"/>
      <c r="T124" s="677"/>
      <c r="U124" s="677"/>
      <c r="V124" s="678"/>
      <c r="W124" s="678"/>
      <c r="X124" s="677"/>
      <c r="Y124" s="677"/>
      <c r="Z124" s="677"/>
      <c r="AA124" s="677"/>
      <c r="AB124" s="679"/>
      <c r="AC124" s="679"/>
      <c r="AD124" s="673"/>
      <c r="AE124" s="673"/>
      <c r="AF124" s="673"/>
      <c r="AG124" s="673"/>
      <c r="AH124" s="673"/>
      <c r="AI124" s="674"/>
      <c r="AJ124" s="674"/>
      <c r="AK124" s="674"/>
      <c r="AL124" s="674"/>
      <c r="AM124" s="674"/>
      <c r="AN124" s="674"/>
      <c r="AO124" s="674"/>
      <c r="AP124" s="674"/>
      <c r="AQ124" s="674"/>
      <c r="AR124" s="674"/>
      <c r="AS124" s="674"/>
      <c r="AT124" s="674"/>
      <c r="AU124" s="674"/>
      <c r="AV124" s="674"/>
      <c r="AW124" s="674"/>
      <c r="AX124" s="674"/>
      <c r="AY124" s="674"/>
      <c r="AZ124" s="674"/>
      <c r="BA124" s="674"/>
      <c r="BB124" s="674"/>
      <c r="BC124" s="637"/>
      <c r="BD124" s="637"/>
      <c r="BE124" s="637"/>
      <c r="BF124" s="637"/>
      <c r="BG124" s="637"/>
      <c r="BH124" s="637"/>
      <c r="BI124" s="637"/>
      <c r="BJ124" s="637"/>
      <c r="BK124" s="637"/>
      <c r="BL124" s="637"/>
      <c r="BM124" s="637"/>
      <c r="BN124" s="637"/>
      <c r="BO124" s="637"/>
      <c r="BP124" s="637"/>
    </row>
    <row r="125" spans="10:68" s="245" customFormat="1">
      <c r="L125" s="677"/>
      <c r="M125" s="677"/>
      <c r="N125" s="677"/>
      <c r="O125" s="677"/>
      <c r="P125" s="677"/>
      <c r="Q125" s="677"/>
      <c r="R125" s="677"/>
      <c r="S125" s="677"/>
      <c r="T125" s="677"/>
      <c r="U125" s="677"/>
      <c r="V125" s="678"/>
      <c r="W125" s="678"/>
      <c r="X125" s="677"/>
      <c r="Y125" s="677"/>
      <c r="Z125" s="677"/>
      <c r="AA125" s="677"/>
      <c r="AB125" s="679"/>
      <c r="AC125" s="679"/>
      <c r="AD125" s="673"/>
      <c r="AE125" s="673"/>
      <c r="AF125" s="673"/>
      <c r="AG125" s="673"/>
      <c r="AH125" s="673"/>
      <c r="AI125" s="674"/>
      <c r="AJ125" s="674"/>
      <c r="AK125" s="674"/>
      <c r="AL125" s="674"/>
      <c r="AM125" s="674"/>
      <c r="AN125" s="674"/>
      <c r="AO125" s="674"/>
      <c r="AP125" s="674"/>
      <c r="AQ125" s="674"/>
      <c r="AR125" s="674"/>
      <c r="AS125" s="674"/>
      <c r="AT125" s="674"/>
      <c r="AU125" s="674"/>
      <c r="AV125" s="674"/>
      <c r="AW125" s="674"/>
      <c r="AX125" s="674"/>
      <c r="AY125" s="674"/>
      <c r="AZ125" s="674"/>
      <c r="BA125" s="674"/>
      <c r="BB125" s="674"/>
      <c r="BC125" s="637"/>
      <c r="BD125" s="637"/>
      <c r="BE125" s="637"/>
      <c r="BF125" s="637"/>
      <c r="BG125" s="637"/>
      <c r="BH125" s="637"/>
      <c r="BI125" s="637"/>
      <c r="BJ125" s="637"/>
      <c r="BK125" s="637"/>
      <c r="BL125" s="637"/>
      <c r="BM125" s="637"/>
      <c r="BN125" s="637"/>
      <c r="BO125" s="637"/>
      <c r="BP125" s="637"/>
    </row>
    <row r="126" spans="10:68" s="245" customFormat="1">
      <c r="L126" s="677"/>
      <c r="M126" s="677"/>
      <c r="N126" s="677"/>
      <c r="O126" s="677"/>
      <c r="P126" s="677"/>
      <c r="Q126" s="677"/>
      <c r="R126" s="677"/>
      <c r="S126" s="677"/>
      <c r="T126" s="677"/>
      <c r="U126" s="677"/>
      <c r="V126" s="678"/>
      <c r="W126" s="678"/>
      <c r="X126" s="677"/>
      <c r="Y126" s="677"/>
      <c r="Z126" s="677"/>
      <c r="AA126" s="677"/>
      <c r="AB126" s="679"/>
      <c r="AC126" s="679"/>
      <c r="AD126" s="673"/>
      <c r="AE126" s="673"/>
      <c r="AF126" s="673"/>
      <c r="AG126" s="673"/>
      <c r="AH126" s="673"/>
      <c r="AI126" s="674"/>
      <c r="AJ126" s="674"/>
      <c r="AK126" s="674"/>
      <c r="AL126" s="674"/>
      <c r="AM126" s="674"/>
      <c r="AN126" s="674"/>
      <c r="AO126" s="674"/>
      <c r="AP126" s="674"/>
      <c r="AQ126" s="674"/>
      <c r="AR126" s="674"/>
      <c r="AS126" s="674"/>
      <c r="AT126" s="674"/>
      <c r="AU126" s="674"/>
      <c r="AV126" s="674"/>
      <c r="AW126" s="674"/>
      <c r="AX126" s="674"/>
      <c r="AY126" s="674"/>
      <c r="AZ126" s="674"/>
      <c r="BA126" s="674"/>
      <c r="BB126" s="674"/>
      <c r="BC126" s="637"/>
      <c r="BD126" s="637"/>
      <c r="BE126" s="637"/>
      <c r="BF126" s="637"/>
      <c r="BG126" s="637"/>
      <c r="BH126" s="637"/>
      <c r="BI126" s="637"/>
      <c r="BJ126" s="637"/>
      <c r="BK126" s="637"/>
      <c r="BL126" s="637"/>
      <c r="BM126" s="637"/>
      <c r="BN126" s="637"/>
      <c r="BO126" s="637"/>
      <c r="BP126" s="637"/>
    </row>
    <row r="127" spans="10:68" s="245" customFormat="1">
      <c r="L127" s="677"/>
      <c r="M127" s="677"/>
      <c r="N127" s="677"/>
      <c r="O127" s="677"/>
      <c r="P127" s="677"/>
      <c r="Q127" s="677"/>
      <c r="R127" s="677"/>
      <c r="S127" s="677"/>
      <c r="T127" s="677"/>
      <c r="U127" s="677"/>
      <c r="V127" s="678"/>
      <c r="W127" s="678"/>
      <c r="X127" s="677"/>
      <c r="Y127" s="677"/>
      <c r="Z127" s="677"/>
      <c r="AA127" s="677"/>
      <c r="AB127" s="679"/>
      <c r="AC127" s="679"/>
      <c r="AD127" s="673"/>
      <c r="AE127" s="673"/>
      <c r="AF127" s="673"/>
      <c r="AG127" s="673"/>
      <c r="AH127" s="673"/>
      <c r="AI127" s="674"/>
      <c r="AJ127" s="674"/>
      <c r="AK127" s="674"/>
      <c r="AL127" s="674"/>
      <c r="AM127" s="674"/>
      <c r="AN127" s="674"/>
      <c r="AO127" s="674"/>
      <c r="AP127" s="674"/>
      <c r="AQ127" s="674"/>
      <c r="AR127" s="674"/>
      <c r="AS127" s="674"/>
      <c r="AT127" s="674"/>
      <c r="AU127" s="674"/>
      <c r="AV127" s="674"/>
      <c r="AW127" s="674"/>
      <c r="AX127" s="674"/>
      <c r="AY127" s="674"/>
      <c r="AZ127" s="674"/>
      <c r="BA127" s="674"/>
      <c r="BB127" s="674"/>
      <c r="BC127" s="637"/>
      <c r="BD127" s="637"/>
      <c r="BE127" s="637"/>
      <c r="BF127" s="637"/>
      <c r="BG127" s="637"/>
      <c r="BH127" s="637"/>
      <c r="BI127" s="637"/>
      <c r="BJ127" s="637"/>
      <c r="BK127" s="637"/>
      <c r="BL127" s="637"/>
      <c r="BM127" s="637"/>
      <c r="BN127" s="637"/>
      <c r="BO127" s="637"/>
      <c r="BP127" s="637"/>
    </row>
    <row r="128" spans="10:68" s="245" customFormat="1">
      <c r="L128" s="677"/>
      <c r="M128" s="677"/>
      <c r="N128" s="677"/>
      <c r="O128" s="677"/>
      <c r="P128" s="677"/>
      <c r="Q128" s="677"/>
      <c r="R128" s="677"/>
      <c r="S128" s="677"/>
      <c r="T128" s="677"/>
      <c r="U128" s="677"/>
      <c r="V128" s="678"/>
      <c r="W128" s="678"/>
      <c r="X128" s="677"/>
      <c r="Y128" s="677"/>
      <c r="Z128" s="677"/>
      <c r="AA128" s="677"/>
      <c r="AB128" s="679"/>
      <c r="AC128" s="679"/>
      <c r="AD128" s="673"/>
      <c r="AE128" s="673"/>
      <c r="AF128" s="673"/>
      <c r="AG128" s="673"/>
      <c r="AH128" s="673"/>
      <c r="AI128" s="674"/>
      <c r="AJ128" s="674"/>
      <c r="AK128" s="674"/>
      <c r="AL128" s="674"/>
      <c r="AM128" s="674"/>
      <c r="AN128" s="674"/>
      <c r="AO128" s="674"/>
      <c r="AP128" s="674"/>
      <c r="AQ128" s="674"/>
      <c r="AR128" s="674"/>
      <c r="AS128" s="674"/>
      <c r="AT128" s="674"/>
      <c r="AU128" s="674"/>
      <c r="AV128" s="674"/>
      <c r="AW128" s="674"/>
      <c r="AX128" s="674"/>
      <c r="AY128" s="674"/>
      <c r="AZ128" s="674"/>
      <c r="BA128" s="674"/>
      <c r="BB128" s="674"/>
      <c r="BC128" s="637"/>
      <c r="BD128" s="637"/>
      <c r="BE128" s="637"/>
      <c r="BF128" s="637"/>
      <c r="BG128" s="637"/>
      <c r="BH128" s="637"/>
      <c r="BI128" s="637"/>
      <c r="BJ128" s="637"/>
      <c r="BK128" s="637"/>
      <c r="BL128" s="637"/>
      <c r="BM128" s="637"/>
      <c r="BN128" s="637"/>
      <c r="BO128" s="637"/>
      <c r="BP128" s="637"/>
    </row>
    <row r="129" spans="12:69" s="245" customFormat="1">
      <c r="L129" s="673"/>
      <c r="M129" s="673"/>
      <c r="N129" s="673"/>
      <c r="O129" s="673"/>
      <c r="P129" s="673"/>
      <c r="Q129" s="673"/>
      <c r="R129" s="673"/>
      <c r="S129" s="673"/>
      <c r="T129" s="673"/>
      <c r="U129" s="673"/>
      <c r="V129" s="679"/>
      <c r="W129" s="679"/>
      <c r="X129" s="673"/>
      <c r="Y129" s="673"/>
      <c r="Z129" s="673"/>
      <c r="AA129" s="673"/>
      <c r="AB129" s="679"/>
      <c r="AC129" s="679"/>
      <c r="AD129" s="673"/>
      <c r="AE129" s="673"/>
      <c r="AF129" s="673"/>
      <c r="AG129" s="673"/>
      <c r="AH129" s="673"/>
      <c r="AI129" s="674"/>
      <c r="AJ129" s="674"/>
      <c r="AK129" s="674"/>
      <c r="AL129" s="674"/>
      <c r="AM129" s="674"/>
      <c r="AN129" s="674"/>
      <c r="AO129" s="674"/>
      <c r="AP129" s="674"/>
      <c r="AQ129" s="674"/>
      <c r="AR129" s="674"/>
      <c r="AS129" s="674"/>
      <c r="AT129" s="674"/>
      <c r="AU129" s="674"/>
      <c r="AV129" s="674"/>
      <c r="AW129" s="674"/>
      <c r="AX129" s="674"/>
      <c r="AY129" s="674"/>
      <c r="AZ129" s="674"/>
      <c r="BA129" s="674"/>
      <c r="BB129" s="674"/>
      <c r="BC129" s="637"/>
      <c r="BD129" s="637"/>
      <c r="BE129" s="637"/>
      <c r="BF129" s="637"/>
      <c r="BG129" s="637"/>
      <c r="BH129" s="637"/>
      <c r="BI129" s="637"/>
      <c r="BJ129" s="637"/>
      <c r="BK129" s="637"/>
      <c r="BL129" s="637"/>
      <c r="BM129" s="637"/>
      <c r="BN129" s="637"/>
      <c r="BO129" s="637"/>
      <c r="BP129" s="637"/>
    </row>
    <row r="130" spans="12:69" s="245" customFormat="1">
      <c r="L130" s="673"/>
      <c r="M130" s="673"/>
      <c r="N130" s="673"/>
      <c r="O130" s="673"/>
      <c r="P130" s="673"/>
      <c r="Q130" s="673"/>
      <c r="R130" s="673"/>
      <c r="S130" s="673"/>
      <c r="T130" s="673"/>
      <c r="U130" s="673"/>
      <c r="V130" s="679"/>
      <c r="W130" s="679"/>
      <c r="X130" s="673"/>
      <c r="Y130" s="673"/>
      <c r="Z130" s="673"/>
      <c r="AA130" s="673"/>
      <c r="AB130" s="679"/>
      <c r="AC130" s="679"/>
      <c r="AD130" s="673"/>
      <c r="AE130" s="673"/>
      <c r="AF130" s="673"/>
      <c r="AG130" s="673"/>
      <c r="AH130" s="673"/>
      <c r="AI130" s="674"/>
      <c r="AJ130" s="674"/>
      <c r="AK130" s="674"/>
      <c r="AL130" s="674"/>
      <c r="AM130" s="674"/>
      <c r="AN130" s="674"/>
      <c r="AO130" s="674"/>
      <c r="AP130" s="674"/>
      <c r="AQ130" s="674"/>
      <c r="AR130" s="674"/>
      <c r="AS130" s="674"/>
      <c r="AT130" s="674"/>
      <c r="AU130" s="674"/>
      <c r="AV130" s="674"/>
      <c r="AW130" s="674"/>
      <c r="AX130" s="674"/>
      <c r="AY130" s="674"/>
      <c r="AZ130" s="674"/>
      <c r="BA130" s="674"/>
      <c r="BB130" s="674"/>
      <c r="BC130" s="637"/>
      <c r="BD130" s="637"/>
      <c r="BE130" s="637"/>
      <c r="BF130" s="637"/>
      <c r="BG130" s="637"/>
      <c r="BH130" s="637"/>
      <c r="BI130" s="637"/>
      <c r="BJ130" s="637"/>
      <c r="BK130" s="637"/>
      <c r="BL130" s="637"/>
      <c r="BM130" s="637"/>
      <c r="BN130" s="637"/>
      <c r="BO130" s="637"/>
      <c r="BP130" s="637"/>
    </row>
    <row r="131" spans="12:69" s="245" customFormat="1">
      <c r="L131" s="673"/>
      <c r="M131" s="673"/>
      <c r="N131" s="673"/>
      <c r="O131" s="673"/>
      <c r="P131" s="673"/>
      <c r="Q131" s="673"/>
      <c r="R131" s="673"/>
      <c r="S131" s="673"/>
      <c r="T131" s="673"/>
      <c r="U131" s="673"/>
      <c r="V131" s="679"/>
      <c r="W131" s="679"/>
      <c r="X131" s="673"/>
      <c r="Y131" s="673"/>
      <c r="Z131" s="673"/>
      <c r="AA131" s="673"/>
      <c r="AB131" s="679"/>
      <c r="AC131" s="679"/>
      <c r="AD131" s="673"/>
      <c r="AE131" s="673"/>
      <c r="AF131" s="673"/>
      <c r="AG131" s="673"/>
      <c r="AH131" s="673"/>
      <c r="AI131" s="674"/>
      <c r="AJ131" s="674"/>
      <c r="AK131" s="674"/>
      <c r="AL131" s="674"/>
      <c r="AM131" s="674"/>
      <c r="AN131" s="674"/>
      <c r="AO131" s="674"/>
      <c r="AP131" s="674"/>
      <c r="AQ131" s="674"/>
      <c r="AR131" s="674"/>
      <c r="AS131" s="674"/>
      <c r="AT131" s="674"/>
      <c r="AU131" s="674"/>
      <c r="AV131" s="674"/>
      <c r="AW131" s="674"/>
      <c r="AX131" s="674"/>
      <c r="AY131" s="674"/>
      <c r="AZ131" s="674"/>
      <c r="BA131" s="674"/>
      <c r="BB131" s="674"/>
      <c r="BC131" s="637"/>
      <c r="BD131" s="637"/>
      <c r="BE131" s="637"/>
      <c r="BF131" s="637"/>
      <c r="BG131" s="637"/>
      <c r="BH131" s="637"/>
      <c r="BI131" s="637"/>
      <c r="BJ131" s="637"/>
      <c r="BK131" s="637"/>
      <c r="BL131" s="637"/>
      <c r="BM131" s="637"/>
      <c r="BN131" s="637"/>
      <c r="BO131" s="637"/>
      <c r="BP131" s="637"/>
      <c r="BQ131" s="637" t="s">
        <v>615</v>
      </c>
    </row>
    <row r="132" spans="12:69" s="245" customFormat="1">
      <c r="L132" s="673"/>
      <c r="M132" s="673"/>
      <c r="N132" s="673"/>
      <c r="O132" s="673"/>
      <c r="P132" s="673"/>
      <c r="Q132" s="673"/>
      <c r="R132" s="673"/>
      <c r="S132" s="673"/>
      <c r="T132" s="673"/>
      <c r="U132" s="673"/>
      <c r="V132" s="679"/>
      <c r="W132" s="679"/>
      <c r="X132" s="673"/>
      <c r="Y132" s="673"/>
      <c r="Z132" s="673"/>
      <c r="AA132" s="673"/>
      <c r="AB132" s="679"/>
      <c r="AC132" s="679"/>
      <c r="AD132" s="673"/>
      <c r="AE132" s="673"/>
      <c r="AF132" s="673"/>
      <c r="AG132" s="673"/>
      <c r="AH132" s="673"/>
      <c r="AI132" s="674"/>
      <c r="AJ132" s="674"/>
      <c r="AK132" s="674"/>
      <c r="AL132" s="674"/>
      <c r="AM132" s="674"/>
      <c r="AN132" s="674"/>
      <c r="AO132" s="674"/>
      <c r="AP132" s="674"/>
      <c r="AQ132" s="674"/>
      <c r="AR132" s="674"/>
      <c r="AS132" s="674"/>
      <c r="AT132" s="674"/>
      <c r="AU132" s="674"/>
      <c r="AV132" s="674"/>
      <c r="AW132" s="674"/>
      <c r="AX132" s="674"/>
      <c r="AY132" s="674"/>
      <c r="AZ132" s="674"/>
      <c r="BA132" s="674"/>
      <c r="BB132" s="674"/>
      <c r="BC132" s="637"/>
      <c r="BD132" s="637"/>
      <c r="BE132" s="637"/>
      <c r="BF132" s="637"/>
      <c r="BG132" s="637"/>
      <c r="BH132" s="637"/>
      <c r="BI132" s="637"/>
      <c r="BJ132" s="637"/>
      <c r="BK132" s="637"/>
      <c r="BL132" s="637"/>
      <c r="BM132" s="637"/>
      <c r="BN132" s="637"/>
      <c r="BO132" s="637"/>
      <c r="BP132" s="637"/>
    </row>
    <row r="133" spans="12:69" s="245" customFormat="1">
      <c r="L133" s="673"/>
      <c r="M133" s="673"/>
      <c r="N133" s="673"/>
      <c r="O133" s="673"/>
      <c r="P133" s="673"/>
      <c r="Q133" s="673"/>
      <c r="R133" s="673"/>
      <c r="S133" s="673"/>
      <c r="T133" s="673"/>
      <c r="U133" s="673"/>
      <c r="V133" s="679"/>
      <c r="W133" s="679"/>
      <c r="X133" s="673"/>
      <c r="Y133" s="673"/>
      <c r="Z133" s="673"/>
      <c r="AA133" s="673"/>
      <c r="AB133" s="679"/>
      <c r="AC133" s="679"/>
      <c r="AD133" s="673"/>
      <c r="AE133" s="673"/>
      <c r="AF133" s="673"/>
      <c r="AG133" s="673"/>
      <c r="AH133" s="673"/>
      <c r="AI133" s="674"/>
      <c r="AJ133" s="674"/>
      <c r="AK133" s="674"/>
      <c r="AL133" s="674"/>
      <c r="AM133" s="674"/>
      <c r="AN133" s="674"/>
      <c r="AO133" s="674"/>
      <c r="AP133" s="674"/>
      <c r="AQ133" s="674"/>
      <c r="AR133" s="674"/>
      <c r="AS133" s="674"/>
      <c r="AT133" s="674"/>
      <c r="AU133" s="674"/>
      <c r="AV133" s="674"/>
      <c r="AW133" s="674"/>
      <c r="AX133" s="674"/>
      <c r="AY133" s="674"/>
      <c r="AZ133" s="674"/>
      <c r="BA133" s="674"/>
      <c r="BB133" s="674"/>
      <c r="BC133" s="637"/>
      <c r="BD133" s="637"/>
      <c r="BE133" s="637"/>
      <c r="BF133" s="637"/>
      <c r="BG133" s="637"/>
      <c r="BH133" s="637"/>
      <c r="BI133" s="637"/>
      <c r="BJ133" s="637"/>
      <c r="BK133" s="637"/>
      <c r="BL133" s="637"/>
      <c r="BM133" s="637"/>
      <c r="BN133" s="637"/>
      <c r="BO133" s="637"/>
      <c r="BP133" s="637"/>
    </row>
    <row r="134" spans="12:69" s="245" customFormat="1">
      <c r="L134" s="673"/>
      <c r="M134" s="673"/>
      <c r="N134" s="673"/>
      <c r="O134" s="673"/>
      <c r="P134" s="673"/>
      <c r="Q134" s="673"/>
      <c r="R134" s="673"/>
      <c r="S134" s="673"/>
      <c r="T134" s="673"/>
      <c r="U134" s="673"/>
      <c r="V134" s="679"/>
      <c r="W134" s="679"/>
      <c r="X134" s="673"/>
      <c r="Y134" s="673"/>
      <c r="Z134" s="673"/>
      <c r="AA134" s="673"/>
      <c r="AB134" s="679"/>
      <c r="AC134" s="679"/>
      <c r="AD134" s="673"/>
      <c r="AE134" s="673"/>
      <c r="AF134" s="673"/>
      <c r="AG134" s="673"/>
      <c r="AH134" s="673"/>
      <c r="AI134" s="674"/>
      <c r="AJ134" s="674"/>
      <c r="AK134" s="674"/>
      <c r="AL134" s="674"/>
      <c r="AM134" s="674"/>
      <c r="AN134" s="674"/>
      <c r="AO134" s="674"/>
      <c r="AP134" s="674"/>
      <c r="AQ134" s="674"/>
      <c r="AR134" s="674"/>
      <c r="AS134" s="674"/>
      <c r="AT134" s="674"/>
      <c r="AU134" s="674"/>
      <c r="AV134" s="674"/>
      <c r="AW134" s="674"/>
      <c r="AX134" s="674"/>
      <c r="AY134" s="674"/>
      <c r="AZ134" s="674"/>
      <c r="BA134" s="674"/>
      <c r="BB134" s="674"/>
      <c r="BC134" s="637"/>
      <c r="BD134" s="637"/>
      <c r="BE134" s="637"/>
      <c r="BF134" s="637"/>
      <c r="BG134" s="637"/>
      <c r="BH134" s="637"/>
      <c r="BI134" s="637"/>
      <c r="BJ134" s="637"/>
      <c r="BK134" s="637"/>
      <c r="BL134" s="637"/>
      <c r="BM134" s="637"/>
      <c r="BN134" s="637"/>
      <c r="BO134" s="637"/>
      <c r="BP134" s="637"/>
    </row>
    <row r="135" spans="12:69" s="245" customFormat="1">
      <c r="L135" s="673"/>
      <c r="M135" s="673"/>
      <c r="N135" s="673"/>
      <c r="O135" s="673"/>
      <c r="P135" s="673"/>
      <c r="Q135" s="673"/>
      <c r="R135" s="673"/>
      <c r="S135" s="673"/>
      <c r="T135" s="673"/>
      <c r="U135" s="673"/>
      <c r="V135" s="679"/>
      <c r="W135" s="679"/>
      <c r="X135" s="673"/>
      <c r="Y135" s="673"/>
      <c r="Z135" s="673"/>
      <c r="AA135" s="673"/>
      <c r="AB135" s="679"/>
      <c r="AC135" s="679"/>
      <c r="AD135" s="673"/>
      <c r="AE135" s="673"/>
      <c r="AF135" s="673"/>
      <c r="AG135" s="673"/>
      <c r="AH135" s="673"/>
      <c r="AI135" s="674"/>
      <c r="AJ135" s="674"/>
      <c r="AK135" s="674"/>
      <c r="AL135" s="674"/>
      <c r="AM135" s="674"/>
      <c r="AN135" s="674"/>
      <c r="AO135" s="674"/>
      <c r="AP135" s="674"/>
      <c r="AQ135" s="674"/>
      <c r="AR135" s="674"/>
      <c r="AS135" s="674"/>
      <c r="AT135" s="674"/>
      <c r="AU135" s="674"/>
      <c r="AV135" s="674"/>
      <c r="AW135" s="674"/>
      <c r="AX135" s="674"/>
      <c r="AY135" s="674"/>
      <c r="AZ135" s="674"/>
      <c r="BA135" s="674"/>
      <c r="BB135" s="674"/>
      <c r="BC135" s="637"/>
      <c r="BD135" s="637"/>
      <c r="BE135" s="637"/>
      <c r="BF135" s="637"/>
      <c r="BG135" s="637"/>
      <c r="BH135" s="637"/>
      <c r="BI135" s="637"/>
      <c r="BJ135" s="637"/>
      <c r="BK135" s="637"/>
      <c r="BL135" s="637"/>
      <c r="BM135" s="637"/>
      <c r="BN135" s="637"/>
      <c r="BO135" s="637"/>
      <c r="BP135" s="637"/>
    </row>
    <row r="136" spans="12:69" s="245" customFormat="1">
      <c r="L136" s="673"/>
      <c r="M136" s="673"/>
      <c r="N136" s="673"/>
      <c r="O136" s="673"/>
      <c r="P136" s="673"/>
      <c r="Q136" s="673"/>
      <c r="R136" s="673"/>
      <c r="S136" s="673"/>
      <c r="T136" s="673"/>
      <c r="U136" s="673"/>
      <c r="V136" s="679"/>
      <c r="W136" s="679"/>
      <c r="X136" s="673"/>
      <c r="Y136" s="673"/>
      <c r="Z136" s="673"/>
      <c r="AA136" s="673"/>
      <c r="AB136" s="679"/>
      <c r="AC136" s="679"/>
      <c r="AD136" s="673"/>
      <c r="AE136" s="673"/>
      <c r="AF136" s="673"/>
      <c r="AG136" s="673"/>
      <c r="AH136" s="673"/>
      <c r="AI136" s="674"/>
      <c r="AJ136" s="674"/>
      <c r="AK136" s="674"/>
      <c r="AL136" s="674"/>
      <c r="AM136" s="674"/>
      <c r="AN136" s="674"/>
      <c r="AO136" s="674"/>
      <c r="AP136" s="674"/>
      <c r="AQ136" s="674"/>
      <c r="AR136" s="674"/>
      <c r="AS136" s="674"/>
      <c r="AT136" s="674"/>
      <c r="AU136" s="674"/>
      <c r="AV136" s="674"/>
      <c r="AW136" s="674"/>
      <c r="AX136" s="674"/>
      <c r="AY136" s="674"/>
      <c r="AZ136" s="674"/>
      <c r="BA136" s="674"/>
      <c r="BB136" s="674"/>
      <c r="BC136" s="637"/>
      <c r="BD136" s="637"/>
      <c r="BE136" s="637"/>
      <c r="BF136" s="637"/>
      <c r="BG136" s="637"/>
      <c r="BH136" s="637"/>
      <c r="BI136" s="637"/>
      <c r="BJ136" s="637"/>
      <c r="BK136" s="637"/>
      <c r="BL136" s="637"/>
      <c r="BM136" s="637"/>
      <c r="BN136" s="637"/>
      <c r="BO136" s="637"/>
      <c r="BP136" s="637"/>
    </row>
    <row r="137" spans="12:69" s="245" customFormat="1">
      <c r="L137" s="673"/>
      <c r="M137" s="673"/>
      <c r="N137" s="673"/>
      <c r="O137" s="673"/>
      <c r="P137" s="673"/>
      <c r="Q137" s="673"/>
      <c r="R137" s="673"/>
      <c r="S137" s="673"/>
      <c r="T137" s="673"/>
      <c r="U137" s="673"/>
      <c r="V137" s="679"/>
      <c r="W137" s="679"/>
      <c r="X137" s="673"/>
      <c r="Y137" s="673"/>
      <c r="Z137" s="673"/>
      <c r="AA137" s="673"/>
      <c r="AB137" s="679"/>
      <c r="AC137" s="679"/>
      <c r="AD137" s="673"/>
      <c r="AE137" s="673"/>
      <c r="AF137" s="673"/>
      <c r="AG137" s="673"/>
      <c r="AH137" s="673"/>
      <c r="AI137" s="674"/>
      <c r="AJ137" s="674"/>
      <c r="AK137" s="674"/>
      <c r="AL137" s="674"/>
      <c r="AM137" s="674"/>
      <c r="AN137" s="674"/>
      <c r="AO137" s="674"/>
      <c r="AP137" s="674"/>
      <c r="AQ137" s="674"/>
      <c r="AR137" s="674"/>
      <c r="AS137" s="674"/>
      <c r="AT137" s="674"/>
      <c r="AU137" s="674"/>
      <c r="AV137" s="674"/>
      <c r="AW137" s="674"/>
      <c r="AX137" s="674"/>
      <c r="AY137" s="674"/>
      <c r="AZ137" s="674"/>
      <c r="BA137" s="674"/>
      <c r="BB137" s="674"/>
      <c r="BC137" s="637"/>
      <c r="BD137" s="637"/>
      <c r="BE137" s="637"/>
      <c r="BF137" s="637"/>
      <c r="BG137" s="637"/>
      <c r="BH137" s="637"/>
      <c r="BI137" s="637"/>
      <c r="BJ137" s="637"/>
      <c r="BK137" s="637"/>
      <c r="BL137" s="637"/>
      <c r="BM137" s="637"/>
      <c r="BN137" s="637"/>
      <c r="BO137" s="637"/>
      <c r="BP137" s="637"/>
    </row>
    <row r="138" spans="12:69" s="245" customFormat="1">
      <c r="L138" s="673"/>
      <c r="M138" s="673"/>
      <c r="N138" s="673"/>
      <c r="O138" s="673"/>
      <c r="P138" s="673"/>
      <c r="Q138" s="673"/>
      <c r="R138" s="673"/>
      <c r="S138" s="673"/>
      <c r="T138" s="673"/>
      <c r="U138" s="673"/>
      <c r="V138" s="679"/>
      <c r="W138" s="679"/>
      <c r="X138" s="673"/>
      <c r="Y138" s="673"/>
      <c r="Z138" s="673"/>
      <c r="AA138" s="673"/>
      <c r="AB138" s="679"/>
      <c r="AC138" s="679"/>
      <c r="AD138" s="673"/>
      <c r="AE138" s="673"/>
      <c r="AF138" s="673"/>
      <c r="AG138" s="673"/>
      <c r="AH138" s="673"/>
      <c r="AI138" s="674"/>
      <c r="AJ138" s="674"/>
      <c r="AK138" s="674"/>
      <c r="AL138" s="674"/>
      <c r="AM138" s="674"/>
      <c r="AN138" s="674"/>
      <c r="AO138" s="674"/>
      <c r="AP138" s="674"/>
      <c r="AQ138" s="674"/>
      <c r="AR138" s="674"/>
      <c r="AS138" s="674"/>
      <c r="AT138" s="674"/>
      <c r="AU138" s="674"/>
      <c r="AV138" s="674"/>
      <c r="AW138" s="674"/>
      <c r="AX138" s="674"/>
      <c r="AY138" s="674"/>
      <c r="AZ138" s="674"/>
      <c r="BA138" s="674"/>
      <c r="BB138" s="674"/>
      <c r="BC138" s="637"/>
      <c r="BD138" s="637"/>
      <c r="BE138" s="637"/>
      <c r="BF138" s="637"/>
      <c r="BG138" s="637"/>
      <c r="BH138" s="637"/>
      <c r="BI138" s="637"/>
      <c r="BJ138" s="637"/>
      <c r="BK138" s="637"/>
      <c r="BL138" s="637"/>
      <c r="BM138" s="637"/>
      <c r="BN138" s="637"/>
      <c r="BO138" s="637"/>
      <c r="BP138" s="637"/>
    </row>
    <row r="139" spans="12:69" s="245" customFormat="1">
      <c r="L139" s="673"/>
      <c r="M139" s="673"/>
      <c r="N139" s="673"/>
      <c r="O139" s="673"/>
      <c r="P139" s="673"/>
      <c r="Q139" s="673"/>
      <c r="R139" s="673"/>
      <c r="S139" s="673"/>
      <c r="T139" s="673"/>
      <c r="U139" s="673"/>
      <c r="V139" s="679"/>
      <c r="W139" s="679"/>
      <c r="X139" s="673"/>
      <c r="Y139" s="673"/>
      <c r="Z139" s="673"/>
      <c r="AA139" s="673"/>
      <c r="AB139" s="679"/>
      <c r="AC139" s="679"/>
      <c r="AD139" s="673"/>
      <c r="AE139" s="673"/>
      <c r="AF139" s="673"/>
      <c r="AG139" s="673"/>
      <c r="AH139" s="673"/>
      <c r="AI139" s="674"/>
      <c r="AJ139" s="674"/>
      <c r="AK139" s="674"/>
      <c r="AL139" s="674"/>
      <c r="AM139" s="674"/>
      <c r="AN139" s="674"/>
      <c r="AO139" s="674"/>
      <c r="AP139" s="674"/>
      <c r="AQ139" s="674"/>
      <c r="AR139" s="674"/>
      <c r="AS139" s="674"/>
      <c r="AT139" s="674"/>
      <c r="AU139" s="674"/>
      <c r="AV139" s="674"/>
      <c r="AW139" s="674"/>
      <c r="AX139" s="674"/>
      <c r="AY139" s="674"/>
      <c r="AZ139" s="674"/>
      <c r="BA139" s="674"/>
      <c r="BB139" s="674"/>
      <c r="BC139" s="637"/>
      <c r="BD139" s="637"/>
      <c r="BE139" s="637"/>
      <c r="BF139" s="637"/>
      <c r="BG139" s="637"/>
      <c r="BH139" s="637"/>
      <c r="BI139" s="637"/>
      <c r="BJ139" s="637"/>
      <c r="BK139" s="637"/>
      <c r="BL139" s="637"/>
      <c r="BM139" s="637"/>
      <c r="BN139" s="637"/>
      <c r="BO139" s="637"/>
      <c r="BP139" s="637"/>
    </row>
    <row r="140" spans="12:69" s="245" customFormat="1">
      <c r="L140" s="673"/>
      <c r="M140" s="673"/>
      <c r="N140" s="673"/>
      <c r="O140" s="673"/>
      <c r="P140" s="673"/>
      <c r="Q140" s="673"/>
      <c r="R140" s="673"/>
      <c r="S140" s="673"/>
      <c r="T140" s="673"/>
      <c r="U140" s="673"/>
      <c r="V140" s="679"/>
      <c r="W140" s="679"/>
      <c r="X140" s="673"/>
      <c r="Y140" s="673"/>
      <c r="Z140" s="673"/>
      <c r="AA140" s="673"/>
      <c r="AB140" s="679"/>
      <c r="AC140" s="679"/>
      <c r="AD140" s="673"/>
      <c r="AE140" s="673"/>
      <c r="AF140" s="673"/>
      <c r="AG140" s="673"/>
      <c r="AH140" s="673"/>
      <c r="AI140" s="674"/>
      <c r="AJ140" s="674"/>
      <c r="AK140" s="674"/>
      <c r="AL140" s="674"/>
      <c r="AM140" s="674"/>
      <c r="AN140" s="674"/>
      <c r="AO140" s="674"/>
      <c r="AP140" s="674"/>
      <c r="AQ140" s="674"/>
      <c r="AR140" s="674"/>
      <c r="AS140" s="674"/>
      <c r="AT140" s="674"/>
      <c r="AU140" s="674"/>
      <c r="AV140" s="674"/>
      <c r="AW140" s="674"/>
      <c r="AX140" s="674"/>
      <c r="AY140" s="674"/>
      <c r="AZ140" s="674"/>
      <c r="BA140" s="674"/>
      <c r="BB140" s="674"/>
      <c r="BC140" s="637"/>
      <c r="BD140" s="637"/>
      <c r="BE140" s="637"/>
      <c r="BF140" s="637"/>
      <c r="BG140" s="637"/>
      <c r="BH140" s="637"/>
      <c r="BI140" s="637"/>
      <c r="BJ140" s="637"/>
      <c r="BK140" s="637"/>
      <c r="BL140" s="637"/>
      <c r="BM140" s="637"/>
      <c r="BN140" s="637"/>
      <c r="BO140" s="637"/>
      <c r="BP140" s="637"/>
    </row>
    <row r="141" spans="12:69" s="245" customFormat="1">
      <c r="L141" s="658"/>
      <c r="M141" s="673"/>
      <c r="N141" s="673"/>
      <c r="O141" s="658"/>
      <c r="P141" s="658"/>
      <c r="Q141" s="658"/>
      <c r="R141" s="658"/>
      <c r="S141" s="658"/>
      <c r="T141" s="658"/>
      <c r="U141" s="658"/>
      <c r="V141" s="659"/>
      <c r="W141" s="659"/>
      <c r="X141" s="658"/>
      <c r="Y141" s="658"/>
      <c r="Z141" s="658"/>
      <c r="AA141" s="658"/>
      <c r="AB141" s="659"/>
      <c r="AC141" s="659"/>
      <c r="AD141" s="658"/>
      <c r="AE141" s="658"/>
      <c r="AF141" s="658"/>
      <c r="AG141" s="658"/>
      <c r="AH141" s="658"/>
      <c r="AI141" s="637"/>
      <c r="AJ141" s="637"/>
      <c r="AK141" s="637"/>
      <c r="AL141" s="637"/>
      <c r="AM141" s="637"/>
      <c r="AN141" s="637"/>
      <c r="AO141" s="637"/>
      <c r="AP141" s="637"/>
      <c r="AQ141" s="637"/>
      <c r="AR141" s="637"/>
      <c r="AS141" s="637"/>
      <c r="AT141" s="637"/>
      <c r="AU141" s="637"/>
      <c r="AV141" s="637"/>
      <c r="AW141" s="637"/>
      <c r="AX141" s="637"/>
      <c r="AY141" s="637"/>
      <c r="AZ141" s="637"/>
      <c r="BA141" s="637"/>
      <c r="BB141" s="637"/>
      <c r="BC141" s="637"/>
      <c r="BD141" s="637"/>
      <c r="BE141" s="637"/>
      <c r="BF141" s="637"/>
      <c r="BG141" s="637"/>
      <c r="BH141" s="637"/>
      <c r="BI141" s="637"/>
      <c r="BJ141" s="637"/>
      <c r="BK141" s="637"/>
      <c r="BL141" s="637"/>
      <c r="BM141" s="637"/>
      <c r="BN141" s="637"/>
      <c r="BO141" s="637"/>
      <c r="BP141" s="637"/>
    </row>
    <row r="142" spans="12:69" s="245" customFormat="1">
      <c r="L142" s="658"/>
      <c r="M142" s="673"/>
      <c r="N142" s="673"/>
      <c r="O142" s="658"/>
      <c r="P142" s="658"/>
      <c r="Q142" s="658"/>
      <c r="R142" s="658"/>
      <c r="S142" s="658"/>
      <c r="T142" s="658"/>
      <c r="U142" s="658"/>
      <c r="V142" s="659"/>
      <c r="W142" s="659"/>
      <c r="X142" s="658"/>
      <c r="Y142" s="658"/>
      <c r="Z142" s="658"/>
      <c r="AA142" s="658"/>
      <c r="AB142" s="659"/>
      <c r="AC142" s="659"/>
      <c r="AD142" s="658"/>
      <c r="AE142" s="658"/>
      <c r="AF142" s="658"/>
      <c r="AG142" s="658"/>
      <c r="AH142" s="658"/>
      <c r="AI142" s="637"/>
      <c r="AJ142" s="637"/>
      <c r="AK142" s="637"/>
      <c r="AL142" s="637"/>
      <c r="AM142" s="637"/>
      <c r="AN142" s="637"/>
      <c r="AO142" s="637"/>
      <c r="AP142" s="637"/>
      <c r="AQ142" s="637"/>
      <c r="AR142" s="637"/>
      <c r="AS142" s="637"/>
      <c r="AT142" s="637"/>
      <c r="AU142" s="637"/>
      <c r="AV142" s="637"/>
      <c r="AW142" s="637"/>
      <c r="AX142" s="637"/>
      <c r="AY142" s="637"/>
      <c r="AZ142" s="637"/>
      <c r="BA142" s="637"/>
      <c r="BB142" s="637"/>
      <c r="BC142" s="637"/>
      <c r="BD142" s="637"/>
      <c r="BE142" s="637"/>
      <c r="BF142" s="637"/>
      <c r="BG142" s="637"/>
      <c r="BH142" s="637"/>
      <c r="BI142" s="637"/>
      <c r="BJ142" s="637"/>
      <c r="BK142" s="637"/>
      <c r="BL142" s="637"/>
      <c r="BM142" s="637"/>
      <c r="BN142" s="637"/>
      <c r="BO142" s="637"/>
      <c r="BP142" s="637"/>
    </row>
    <row r="143" spans="12:69" s="245" customFormat="1">
      <c r="L143" s="658"/>
      <c r="M143" s="673"/>
      <c r="N143" s="673"/>
      <c r="O143" s="658"/>
      <c r="P143" s="658"/>
      <c r="Q143" s="658"/>
      <c r="R143" s="658"/>
      <c r="S143" s="658"/>
      <c r="T143" s="658"/>
      <c r="U143" s="658"/>
      <c r="V143" s="659"/>
      <c r="W143" s="659"/>
      <c r="X143" s="658"/>
      <c r="Y143" s="658"/>
      <c r="Z143" s="658"/>
      <c r="AA143" s="658"/>
      <c r="AB143" s="659"/>
      <c r="AC143" s="659"/>
      <c r="AD143" s="658"/>
      <c r="AE143" s="658"/>
      <c r="AF143" s="658"/>
      <c r="AG143" s="658"/>
      <c r="AH143" s="658"/>
      <c r="AI143" s="637"/>
      <c r="AJ143" s="637"/>
      <c r="AK143" s="637"/>
      <c r="AL143" s="637"/>
      <c r="AM143" s="637"/>
      <c r="AN143" s="637"/>
      <c r="AO143" s="637"/>
      <c r="AP143" s="637"/>
      <c r="AQ143" s="637"/>
      <c r="AR143" s="637"/>
      <c r="AS143" s="637"/>
      <c r="AT143" s="637"/>
      <c r="AU143" s="637"/>
      <c r="AV143" s="637"/>
      <c r="AW143" s="637"/>
      <c r="AX143" s="637"/>
      <c r="AY143" s="637"/>
      <c r="AZ143" s="637"/>
      <c r="BA143" s="637"/>
      <c r="BB143" s="637"/>
      <c r="BC143" s="637"/>
      <c r="BD143" s="637"/>
      <c r="BE143" s="637"/>
      <c r="BF143" s="637"/>
      <c r="BG143" s="637"/>
      <c r="BH143" s="637"/>
      <c r="BI143" s="637"/>
      <c r="BJ143" s="637"/>
      <c r="BK143" s="637"/>
      <c r="BL143" s="637"/>
      <c r="BM143" s="637"/>
      <c r="BN143" s="637"/>
      <c r="BO143" s="637"/>
      <c r="BP143" s="637"/>
    </row>
    <row r="144" spans="12:69" s="245" customFormat="1">
      <c r="L144" s="658"/>
      <c r="M144" s="673"/>
      <c r="N144" s="673"/>
      <c r="O144" s="658"/>
      <c r="P144" s="658"/>
      <c r="Q144" s="658"/>
      <c r="R144" s="658"/>
      <c r="S144" s="658"/>
      <c r="T144" s="658"/>
      <c r="U144" s="658"/>
      <c r="V144" s="659"/>
      <c r="W144" s="659"/>
      <c r="X144" s="658"/>
      <c r="Y144" s="658"/>
      <c r="Z144" s="658"/>
      <c r="AA144" s="658"/>
      <c r="AB144" s="659"/>
      <c r="AC144" s="659"/>
      <c r="AD144" s="658"/>
      <c r="AE144" s="658"/>
      <c r="AF144" s="658"/>
      <c r="AG144" s="658"/>
      <c r="AH144" s="658"/>
      <c r="AI144" s="637"/>
      <c r="AJ144" s="637"/>
      <c r="AK144" s="637"/>
      <c r="AL144" s="637"/>
      <c r="AM144" s="637"/>
      <c r="AN144" s="637"/>
      <c r="AO144" s="637"/>
      <c r="AP144" s="637"/>
      <c r="AQ144" s="637"/>
      <c r="AR144" s="637"/>
      <c r="AS144" s="637"/>
      <c r="AT144" s="637"/>
      <c r="AU144" s="637"/>
      <c r="AV144" s="637"/>
      <c r="AW144" s="637"/>
      <c r="AX144" s="637"/>
      <c r="AY144" s="637"/>
      <c r="AZ144" s="637"/>
      <c r="BA144" s="637"/>
      <c r="BB144" s="637"/>
      <c r="BC144" s="637"/>
      <c r="BD144" s="637"/>
      <c r="BE144" s="637"/>
      <c r="BF144" s="637"/>
      <c r="BG144" s="637"/>
      <c r="BH144" s="637"/>
      <c r="BI144" s="637"/>
      <c r="BJ144" s="637"/>
      <c r="BK144" s="637"/>
      <c r="BL144" s="637"/>
      <c r="BM144" s="637"/>
      <c r="BN144" s="637"/>
      <c r="BO144" s="637"/>
      <c r="BP144" s="637"/>
    </row>
    <row r="145" spans="12:68" s="245" customFormat="1">
      <c r="L145" s="658"/>
      <c r="M145" s="673"/>
      <c r="N145" s="673"/>
      <c r="O145" s="658"/>
      <c r="P145" s="658"/>
      <c r="Q145" s="658"/>
      <c r="R145" s="658"/>
      <c r="S145" s="658"/>
      <c r="T145" s="658"/>
      <c r="U145" s="658"/>
      <c r="V145" s="659"/>
      <c r="W145" s="659"/>
      <c r="X145" s="658"/>
      <c r="Y145" s="658"/>
      <c r="Z145" s="658"/>
      <c r="AA145" s="658"/>
      <c r="AB145" s="659"/>
      <c r="AC145" s="659"/>
      <c r="AD145" s="658"/>
      <c r="AE145" s="658"/>
      <c r="AF145" s="658"/>
      <c r="AG145" s="658"/>
      <c r="AH145" s="658"/>
      <c r="AI145" s="637"/>
      <c r="AJ145" s="637"/>
      <c r="AK145" s="637"/>
      <c r="AL145" s="637"/>
      <c r="AM145" s="637"/>
      <c r="AN145" s="637"/>
      <c r="AO145" s="637"/>
      <c r="AP145" s="637"/>
      <c r="AQ145" s="637"/>
      <c r="AR145" s="637"/>
      <c r="AS145" s="637"/>
      <c r="AT145" s="637"/>
      <c r="AU145" s="637"/>
      <c r="AV145" s="637"/>
      <c r="AW145" s="637"/>
      <c r="AX145" s="637"/>
      <c r="AY145" s="637"/>
      <c r="AZ145" s="637"/>
      <c r="BA145" s="637"/>
      <c r="BB145" s="637"/>
      <c r="BC145" s="637"/>
      <c r="BD145" s="637"/>
      <c r="BE145" s="637"/>
      <c r="BF145" s="637"/>
      <c r="BG145" s="637"/>
      <c r="BH145" s="637"/>
      <c r="BI145" s="637"/>
      <c r="BJ145" s="637"/>
      <c r="BK145" s="637"/>
      <c r="BL145" s="637"/>
      <c r="BM145" s="637"/>
      <c r="BN145" s="637"/>
      <c r="BO145" s="637"/>
      <c r="BP145" s="637"/>
    </row>
    <row r="146" spans="12:68" s="245" customFormat="1">
      <c r="L146" s="658"/>
      <c r="M146" s="673"/>
      <c r="N146" s="673"/>
      <c r="O146" s="658"/>
      <c r="P146" s="658"/>
      <c r="Q146" s="658"/>
      <c r="R146" s="658"/>
      <c r="S146" s="658"/>
      <c r="T146" s="658"/>
      <c r="U146" s="658"/>
      <c r="V146" s="659"/>
      <c r="W146" s="659"/>
      <c r="X146" s="658"/>
      <c r="Y146" s="658"/>
      <c r="Z146" s="658"/>
      <c r="AA146" s="658"/>
      <c r="AB146" s="659"/>
      <c r="AC146" s="659"/>
      <c r="AD146" s="658"/>
      <c r="AE146" s="658"/>
      <c r="AF146" s="658"/>
      <c r="AG146" s="658"/>
      <c r="AH146" s="658"/>
      <c r="AI146" s="637"/>
      <c r="AJ146" s="637"/>
      <c r="AK146" s="637"/>
      <c r="AL146" s="637"/>
      <c r="AM146" s="637"/>
      <c r="AN146" s="637"/>
      <c r="AO146" s="637"/>
      <c r="AP146" s="637"/>
      <c r="AQ146" s="637"/>
      <c r="AR146" s="637"/>
      <c r="AS146" s="637"/>
      <c r="AT146" s="637"/>
      <c r="AU146" s="637"/>
      <c r="AV146" s="637"/>
      <c r="AW146" s="637"/>
      <c r="AX146" s="637"/>
      <c r="AY146" s="637"/>
      <c r="AZ146" s="637"/>
      <c r="BA146" s="637"/>
      <c r="BB146" s="637"/>
      <c r="BC146" s="637"/>
      <c r="BD146" s="637"/>
      <c r="BE146" s="637"/>
      <c r="BF146" s="637"/>
      <c r="BG146" s="637"/>
      <c r="BH146" s="637"/>
      <c r="BI146" s="637"/>
      <c r="BJ146" s="637"/>
      <c r="BK146" s="637"/>
      <c r="BL146" s="637"/>
      <c r="BM146" s="637"/>
      <c r="BN146" s="637"/>
      <c r="BO146" s="637"/>
      <c r="BP146" s="637"/>
    </row>
    <row r="147" spans="12:68" s="245" customFormat="1">
      <c r="L147" s="658"/>
      <c r="M147" s="673"/>
      <c r="N147" s="673"/>
      <c r="O147" s="658"/>
      <c r="P147" s="658"/>
      <c r="Q147" s="658"/>
      <c r="R147" s="658"/>
      <c r="S147" s="658"/>
      <c r="T147" s="658"/>
      <c r="U147" s="658"/>
      <c r="V147" s="659"/>
      <c r="W147" s="659"/>
      <c r="X147" s="658"/>
      <c r="Y147" s="658"/>
      <c r="Z147" s="658"/>
      <c r="AA147" s="658"/>
      <c r="AB147" s="659"/>
      <c r="AC147" s="659"/>
      <c r="AD147" s="658"/>
      <c r="AE147" s="658"/>
      <c r="AF147" s="658"/>
      <c r="AG147" s="658"/>
      <c r="AH147" s="658"/>
      <c r="AI147" s="637"/>
      <c r="AJ147" s="637"/>
      <c r="AK147" s="637"/>
      <c r="AL147" s="637"/>
      <c r="AM147" s="637"/>
      <c r="AN147" s="637"/>
      <c r="AO147" s="637"/>
      <c r="AP147" s="637"/>
      <c r="AQ147" s="637"/>
      <c r="AR147" s="637"/>
      <c r="AS147" s="637"/>
      <c r="AT147" s="637"/>
      <c r="AU147" s="637"/>
      <c r="AV147" s="637"/>
      <c r="AW147" s="637"/>
      <c r="AX147" s="637"/>
      <c r="AY147" s="637"/>
      <c r="AZ147" s="637"/>
      <c r="BA147" s="637"/>
      <c r="BB147" s="637"/>
      <c r="BC147" s="637"/>
      <c r="BD147" s="637"/>
      <c r="BE147" s="637"/>
      <c r="BF147" s="637"/>
      <c r="BG147" s="637"/>
      <c r="BH147" s="637"/>
      <c r="BI147" s="637"/>
      <c r="BJ147" s="637"/>
      <c r="BK147" s="637"/>
      <c r="BL147" s="637"/>
      <c r="BM147" s="637"/>
      <c r="BN147" s="637"/>
      <c r="BO147" s="637"/>
      <c r="BP147" s="637"/>
    </row>
    <row r="148" spans="12:68" s="245" customFormat="1">
      <c r="L148" s="658"/>
      <c r="M148" s="673"/>
      <c r="N148" s="673"/>
      <c r="O148" s="658"/>
      <c r="P148" s="658"/>
      <c r="Q148" s="658"/>
      <c r="R148" s="658"/>
      <c r="S148" s="658"/>
      <c r="T148" s="658"/>
      <c r="U148" s="658"/>
      <c r="V148" s="659"/>
      <c r="W148" s="659"/>
      <c r="X148" s="658"/>
      <c r="Y148" s="658"/>
      <c r="Z148" s="658"/>
      <c r="AA148" s="658"/>
      <c r="AB148" s="659"/>
      <c r="AC148" s="659"/>
      <c r="AD148" s="658"/>
      <c r="AE148" s="658"/>
      <c r="AF148" s="658"/>
      <c r="AG148" s="658"/>
      <c r="AH148" s="658"/>
      <c r="AI148" s="637"/>
      <c r="AJ148" s="637"/>
      <c r="AK148" s="637"/>
      <c r="AL148" s="637"/>
      <c r="AM148" s="637"/>
      <c r="AN148" s="637"/>
      <c r="AO148" s="637"/>
      <c r="AP148" s="637"/>
      <c r="AQ148" s="637"/>
      <c r="AR148" s="637"/>
      <c r="AS148" s="637"/>
      <c r="AT148" s="637"/>
      <c r="AU148" s="637"/>
      <c r="AV148" s="637"/>
      <c r="AW148" s="637"/>
      <c r="AX148" s="637"/>
      <c r="AY148" s="637"/>
      <c r="AZ148" s="637"/>
      <c r="BA148" s="637"/>
      <c r="BB148" s="637"/>
      <c r="BC148" s="637"/>
      <c r="BD148" s="637"/>
      <c r="BE148" s="637"/>
      <c r="BF148" s="637"/>
      <c r="BG148" s="637"/>
      <c r="BH148" s="637"/>
      <c r="BI148" s="637"/>
      <c r="BJ148" s="637"/>
      <c r="BK148" s="637"/>
      <c r="BL148" s="637"/>
      <c r="BM148" s="637"/>
      <c r="BN148" s="637"/>
      <c r="BO148" s="637"/>
      <c r="BP148" s="637"/>
    </row>
    <row r="149" spans="12:68" s="245" customFormat="1">
      <c r="L149" s="658"/>
      <c r="M149" s="673"/>
      <c r="N149" s="673"/>
      <c r="O149" s="658"/>
      <c r="P149" s="658"/>
      <c r="Q149" s="658"/>
      <c r="R149" s="658"/>
      <c r="S149" s="658"/>
      <c r="T149" s="658"/>
      <c r="U149" s="658"/>
      <c r="V149" s="659"/>
      <c r="W149" s="659"/>
      <c r="X149" s="658"/>
      <c r="Y149" s="658"/>
      <c r="Z149" s="658"/>
      <c r="AA149" s="658"/>
      <c r="AB149" s="659"/>
      <c r="AC149" s="659"/>
      <c r="AD149" s="658"/>
      <c r="AE149" s="658"/>
      <c r="AF149" s="658"/>
      <c r="AG149" s="658"/>
      <c r="AH149" s="658"/>
      <c r="AI149" s="637"/>
      <c r="AJ149" s="637"/>
      <c r="AK149" s="637"/>
      <c r="AL149" s="637"/>
      <c r="AM149" s="637"/>
      <c r="AN149" s="637"/>
      <c r="AO149" s="637"/>
      <c r="AP149" s="637"/>
      <c r="AQ149" s="637"/>
      <c r="AR149" s="637"/>
      <c r="AS149" s="637"/>
      <c r="AT149" s="637"/>
      <c r="AU149" s="637"/>
      <c r="AV149" s="637"/>
      <c r="AW149" s="637"/>
      <c r="AX149" s="637"/>
      <c r="AY149" s="637"/>
      <c r="AZ149" s="637"/>
      <c r="BA149" s="637"/>
      <c r="BB149" s="637"/>
      <c r="BC149" s="637"/>
      <c r="BD149" s="637"/>
      <c r="BE149" s="637"/>
      <c r="BF149" s="637"/>
      <c r="BG149" s="637"/>
      <c r="BH149" s="637"/>
      <c r="BI149" s="637"/>
      <c r="BJ149" s="637"/>
      <c r="BK149" s="637"/>
      <c r="BL149" s="637"/>
      <c r="BM149" s="637"/>
      <c r="BN149" s="637"/>
      <c r="BO149" s="637"/>
      <c r="BP149" s="637"/>
    </row>
    <row r="150" spans="12:68" s="245" customFormat="1">
      <c r="L150" s="658"/>
      <c r="M150" s="673"/>
      <c r="N150" s="673"/>
      <c r="O150" s="658"/>
      <c r="P150" s="658"/>
      <c r="Q150" s="658"/>
      <c r="R150" s="658"/>
      <c r="S150" s="658"/>
      <c r="T150" s="658"/>
      <c r="U150" s="658"/>
      <c r="V150" s="659"/>
      <c r="W150" s="659"/>
      <c r="X150" s="658"/>
      <c r="Y150" s="658"/>
      <c r="Z150" s="658"/>
      <c r="AA150" s="658"/>
      <c r="AB150" s="659"/>
      <c r="AC150" s="659"/>
      <c r="AD150" s="658"/>
      <c r="AE150" s="658"/>
      <c r="AF150" s="658"/>
      <c r="AG150" s="658"/>
      <c r="AH150" s="658"/>
      <c r="AI150" s="637"/>
      <c r="AJ150" s="637"/>
      <c r="AK150" s="637"/>
      <c r="AL150" s="637"/>
      <c r="AM150" s="637"/>
      <c r="AN150" s="637"/>
      <c r="AO150" s="637"/>
      <c r="AP150" s="637"/>
      <c r="AQ150" s="637"/>
      <c r="AR150" s="637"/>
      <c r="AS150" s="637"/>
      <c r="AT150" s="637"/>
      <c r="AU150" s="637"/>
      <c r="AV150" s="637"/>
      <c r="AW150" s="637"/>
      <c r="AX150" s="637"/>
      <c r="AY150" s="637"/>
      <c r="AZ150" s="637"/>
      <c r="BA150" s="637"/>
      <c r="BB150" s="637"/>
      <c r="BC150" s="637"/>
      <c r="BD150" s="637"/>
      <c r="BE150" s="637"/>
      <c r="BF150" s="637"/>
      <c r="BG150" s="637"/>
      <c r="BH150" s="637"/>
      <c r="BI150" s="637"/>
      <c r="BJ150" s="637"/>
      <c r="BK150" s="637"/>
      <c r="BL150" s="637"/>
      <c r="BM150" s="637"/>
      <c r="BN150" s="637"/>
      <c r="BO150" s="637"/>
      <c r="BP150" s="637"/>
    </row>
    <row r="151" spans="12:68" s="245" customFormat="1">
      <c r="L151" s="658"/>
      <c r="M151" s="673"/>
      <c r="N151" s="673"/>
      <c r="O151" s="658"/>
      <c r="P151" s="658"/>
      <c r="Q151" s="658"/>
      <c r="R151" s="658"/>
      <c r="S151" s="658"/>
      <c r="T151" s="658"/>
      <c r="U151" s="658"/>
      <c r="V151" s="659"/>
      <c r="W151" s="659"/>
      <c r="X151" s="658"/>
      <c r="Y151" s="658"/>
      <c r="Z151" s="658"/>
      <c r="AA151" s="658"/>
      <c r="AB151" s="659"/>
      <c r="AC151" s="659"/>
      <c r="AD151" s="658"/>
      <c r="AE151" s="658"/>
      <c r="AF151" s="658"/>
      <c r="AG151" s="658"/>
      <c r="AH151" s="658"/>
      <c r="AI151" s="637"/>
      <c r="AJ151" s="637"/>
      <c r="AK151" s="637"/>
      <c r="AL151" s="637"/>
      <c r="AM151" s="637"/>
      <c r="AN151" s="637"/>
      <c r="AO151" s="637"/>
      <c r="AP151" s="637"/>
      <c r="AQ151" s="637"/>
      <c r="AR151" s="637"/>
      <c r="AS151" s="637"/>
      <c r="AT151" s="637"/>
      <c r="AU151" s="637"/>
      <c r="AV151" s="637"/>
      <c r="AW151" s="637"/>
      <c r="AX151" s="637"/>
      <c r="AY151" s="637"/>
      <c r="AZ151" s="637"/>
      <c r="BA151" s="637"/>
      <c r="BB151" s="637"/>
      <c r="BC151" s="637"/>
      <c r="BD151" s="637"/>
      <c r="BE151" s="637"/>
      <c r="BF151" s="637"/>
      <c r="BG151" s="637"/>
      <c r="BH151" s="637"/>
      <c r="BI151" s="637"/>
      <c r="BJ151" s="637"/>
      <c r="BK151" s="637"/>
      <c r="BL151" s="637"/>
      <c r="BM151" s="637"/>
      <c r="BN151" s="637"/>
      <c r="BO151" s="637"/>
      <c r="BP151" s="637"/>
    </row>
    <row r="152" spans="12:68" s="245" customFormat="1">
      <c r="L152" s="658"/>
      <c r="M152" s="673"/>
      <c r="N152" s="673"/>
      <c r="O152" s="658"/>
      <c r="P152" s="658"/>
      <c r="Q152" s="658"/>
      <c r="R152" s="658"/>
      <c r="S152" s="658"/>
      <c r="T152" s="658"/>
      <c r="U152" s="658"/>
      <c r="V152" s="659"/>
      <c r="W152" s="659"/>
      <c r="X152" s="658"/>
      <c r="Y152" s="658"/>
      <c r="Z152" s="658"/>
      <c r="AA152" s="658"/>
      <c r="AB152" s="659"/>
      <c r="AC152" s="659"/>
      <c r="AD152" s="658"/>
      <c r="AE152" s="658"/>
      <c r="AF152" s="658"/>
      <c r="AG152" s="658"/>
      <c r="AH152" s="658"/>
      <c r="AI152" s="637"/>
      <c r="AJ152" s="637"/>
      <c r="AK152" s="637"/>
      <c r="AL152" s="637"/>
      <c r="AM152" s="637"/>
      <c r="AN152" s="637"/>
      <c r="AO152" s="637"/>
      <c r="AP152" s="637"/>
      <c r="AQ152" s="637"/>
      <c r="AR152" s="637"/>
      <c r="AS152" s="637"/>
      <c r="AT152" s="637"/>
      <c r="AU152" s="637"/>
      <c r="AV152" s="637"/>
      <c r="AW152" s="637"/>
      <c r="AX152" s="637"/>
      <c r="AY152" s="637"/>
      <c r="AZ152" s="637"/>
      <c r="BA152" s="637"/>
      <c r="BB152" s="637"/>
      <c r="BC152" s="637"/>
      <c r="BD152" s="637"/>
      <c r="BE152" s="637"/>
      <c r="BF152" s="637"/>
      <c r="BG152" s="637"/>
      <c r="BH152" s="637"/>
      <c r="BI152" s="637"/>
      <c r="BJ152" s="637"/>
      <c r="BK152" s="637"/>
      <c r="BL152" s="637"/>
      <c r="BM152" s="637"/>
      <c r="BN152" s="637"/>
      <c r="BO152" s="637"/>
      <c r="BP152" s="637"/>
    </row>
    <row r="153" spans="12:68" s="245" customFormat="1">
      <c r="L153" s="658"/>
      <c r="M153" s="673"/>
      <c r="N153" s="673"/>
      <c r="O153" s="658"/>
      <c r="P153" s="658"/>
      <c r="Q153" s="658"/>
      <c r="R153" s="658"/>
      <c r="S153" s="658"/>
      <c r="T153" s="658"/>
      <c r="U153" s="658"/>
      <c r="V153" s="659"/>
      <c r="W153" s="659"/>
      <c r="X153" s="658"/>
      <c r="Y153" s="658"/>
      <c r="Z153" s="658"/>
      <c r="AA153" s="658"/>
      <c r="AB153" s="659"/>
      <c r="AC153" s="659"/>
      <c r="AD153" s="658"/>
      <c r="AE153" s="658"/>
      <c r="AF153" s="658"/>
      <c r="AG153" s="658"/>
      <c r="AH153" s="658"/>
      <c r="AI153" s="637"/>
      <c r="AJ153" s="637"/>
      <c r="AK153" s="637"/>
      <c r="AL153" s="637"/>
      <c r="AM153" s="637"/>
      <c r="AN153" s="637"/>
      <c r="AO153" s="637"/>
      <c r="AP153" s="637"/>
      <c r="AQ153" s="637"/>
      <c r="AR153" s="637"/>
      <c r="AS153" s="637"/>
      <c r="AT153" s="637"/>
      <c r="AU153" s="637"/>
      <c r="AV153" s="637"/>
      <c r="AW153" s="637"/>
      <c r="AX153" s="637"/>
      <c r="AY153" s="637"/>
      <c r="AZ153" s="637"/>
      <c r="BA153" s="637"/>
      <c r="BB153" s="637"/>
      <c r="BC153" s="637"/>
      <c r="BD153" s="637"/>
      <c r="BE153" s="637"/>
      <c r="BF153" s="637"/>
      <c r="BG153" s="637"/>
      <c r="BH153" s="637"/>
      <c r="BI153" s="637"/>
      <c r="BJ153" s="637"/>
      <c r="BK153" s="637"/>
      <c r="BL153" s="637"/>
      <c r="BM153" s="637"/>
      <c r="BN153" s="637"/>
      <c r="BO153" s="637"/>
      <c r="BP153" s="637"/>
    </row>
    <row r="154" spans="12:68" s="245" customFormat="1">
      <c r="L154" s="658"/>
      <c r="M154" s="673"/>
      <c r="N154" s="673"/>
      <c r="O154" s="658"/>
      <c r="P154" s="658"/>
      <c r="Q154" s="658"/>
      <c r="R154" s="658"/>
      <c r="S154" s="658"/>
      <c r="T154" s="658"/>
      <c r="U154" s="658"/>
      <c r="V154" s="659"/>
      <c r="W154" s="659"/>
      <c r="X154" s="658"/>
      <c r="Y154" s="658"/>
      <c r="Z154" s="658"/>
      <c r="AA154" s="658"/>
      <c r="AB154" s="659"/>
      <c r="AC154" s="659"/>
      <c r="AD154" s="658"/>
      <c r="AE154" s="658"/>
      <c r="AF154" s="658"/>
      <c r="AG154" s="658"/>
      <c r="AH154" s="658"/>
      <c r="AI154" s="637"/>
      <c r="AJ154" s="637"/>
      <c r="AK154" s="637"/>
      <c r="AL154" s="637"/>
      <c r="AM154" s="637"/>
      <c r="AN154" s="637"/>
      <c r="AO154" s="637"/>
      <c r="AP154" s="637"/>
      <c r="AQ154" s="637"/>
      <c r="AR154" s="637"/>
      <c r="AS154" s="637"/>
      <c r="AT154" s="637"/>
      <c r="AU154" s="637"/>
      <c r="AV154" s="637"/>
      <c r="AW154" s="637"/>
      <c r="AX154" s="637"/>
      <c r="AY154" s="637"/>
      <c r="AZ154" s="637"/>
      <c r="BA154" s="637"/>
      <c r="BB154" s="637"/>
      <c r="BC154" s="637"/>
      <c r="BD154" s="637"/>
      <c r="BE154" s="637"/>
      <c r="BF154" s="637"/>
      <c r="BG154" s="637"/>
      <c r="BH154" s="637"/>
      <c r="BI154" s="637"/>
      <c r="BJ154" s="637"/>
      <c r="BK154" s="637"/>
      <c r="BL154" s="637"/>
      <c r="BM154" s="637"/>
      <c r="BN154" s="637"/>
      <c r="BO154" s="637"/>
      <c r="BP154" s="637"/>
    </row>
    <row r="155" spans="12:68" s="245" customFormat="1">
      <c r="L155" s="658"/>
      <c r="M155" s="673"/>
      <c r="N155" s="673"/>
      <c r="O155" s="658"/>
      <c r="P155" s="658"/>
      <c r="Q155" s="658"/>
      <c r="R155" s="658"/>
      <c r="S155" s="658"/>
      <c r="T155" s="658"/>
      <c r="U155" s="658"/>
      <c r="V155" s="659"/>
      <c r="W155" s="659"/>
      <c r="X155" s="658"/>
      <c r="Y155" s="658"/>
      <c r="Z155" s="658"/>
      <c r="AA155" s="658"/>
      <c r="AB155" s="659"/>
      <c r="AC155" s="659"/>
      <c r="AD155" s="658"/>
      <c r="AE155" s="658"/>
      <c r="AF155" s="658"/>
      <c r="AG155" s="658"/>
      <c r="AH155" s="658"/>
      <c r="AI155" s="637"/>
      <c r="AJ155" s="637"/>
      <c r="AK155" s="637"/>
      <c r="AL155" s="637"/>
      <c r="AM155" s="637"/>
      <c r="AN155" s="637"/>
      <c r="AO155" s="637"/>
      <c r="AP155" s="637"/>
      <c r="AQ155" s="637"/>
      <c r="AR155" s="637"/>
      <c r="AS155" s="637"/>
      <c r="AT155" s="637"/>
      <c r="AU155" s="637"/>
      <c r="AV155" s="637"/>
      <c r="AW155" s="637"/>
      <c r="AX155" s="637"/>
      <c r="AY155" s="637"/>
      <c r="AZ155" s="637"/>
      <c r="BA155" s="637"/>
      <c r="BB155" s="637"/>
      <c r="BC155" s="637"/>
      <c r="BD155" s="637"/>
      <c r="BE155" s="637"/>
      <c r="BF155" s="637"/>
      <c r="BG155" s="637"/>
      <c r="BH155" s="637"/>
      <c r="BI155" s="637"/>
      <c r="BJ155" s="637"/>
      <c r="BK155" s="637"/>
      <c r="BL155" s="637"/>
      <c r="BM155" s="637"/>
      <c r="BN155" s="637"/>
      <c r="BO155" s="637"/>
      <c r="BP155" s="637"/>
    </row>
    <row r="156" spans="12:68" s="245" customFormat="1">
      <c r="L156" s="658"/>
      <c r="M156" s="673"/>
      <c r="N156" s="673"/>
      <c r="O156" s="658"/>
      <c r="P156" s="658"/>
      <c r="Q156" s="658"/>
      <c r="R156" s="658"/>
      <c r="S156" s="658"/>
      <c r="T156" s="658"/>
      <c r="U156" s="658"/>
      <c r="V156" s="659"/>
      <c r="W156" s="659"/>
      <c r="X156" s="658"/>
      <c r="Y156" s="658"/>
      <c r="Z156" s="658"/>
      <c r="AA156" s="658"/>
      <c r="AB156" s="659"/>
      <c r="AC156" s="659"/>
      <c r="AD156" s="658"/>
      <c r="AE156" s="658"/>
      <c r="AF156" s="658"/>
      <c r="AG156" s="658"/>
      <c r="AH156" s="658"/>
      <c r="AI156" s="637"/>
      <c r="AJ156" s="637"/>
      <c r="AK156" s="637"/>
      <c r="AL156" s="637"/>
      <c r="AM156" s="637"/>
      <c r="AN156" s="637"/>
      <c r="AO156" s="637"/>
      <c r="AP156" s="637"/>
      <c r="AQ156" s="637"/>
      <c r="AR156" s="637"/>
      <c r="AS156" s="637"/>
      <c r="AT156" s="637"/>
      <c r="AU156" s="637"/>
      <c r="AV156" s="637"/>
      <c r="AW156" s="637"/>
      <c r="AX156" s="637"/>
      <c r="AY156" s="637"/>
      <c r="AZ156" s="637"/>
      <c r="BA156" s="637"/>
      <c r="BB156" s="637"/>
      <c r="BC156" s="637"/>
      <c r="BD156" s="637"/>
      <c r="BE156" s="637"/>
      <c r="BF156" s="637"/>
      <c r="BG156" s="637"/>
      <c r="BH156" s="637"/>
      <c r="BI156" s="637"/>
      <c r="BJ156" s="637"/>
      <c r="BK156" s="637"/>
      <c r="BL156" s="637"/>
      <c r="BM156" s="637"/>
      <c r="BN156" s="637"/>
      <c r="BO156" s="637"/>
      <c r="BP156" s="637"/>
    </row>
    <row r="157" spans="12:68" s="245" customFormat="1">
      <c r="L157" s="658"/>
      <c r="M157" s="673"/>
      <c r="N157" s="673"/>
      <c r="O157" s="658"/>
      <c r="P157" s="658"/>
      <c r="Q157" s="658"/>
      <c r="R157" s="658"/>
      <c r="S157" s="658"/>
      <c r="T157" s="658"/>
      <c r="U157" s="658"/>
      <c r="V157" s="659"/>
      <c r="W157" s="659"/>
      <c r="X157" s="658"/>
      <c r="Y157" s="658"/>
      <c r="Z157" s="658"/>
      <c r="AA157" s="658"/>
      <c r="AB157" s="659"/>
      <c r="AC157" s="659"/>
      <c r="AD157" s="658"/>
      <c r="AE157" s="658"/>
      <c r="AF157" s="658"/>
      <c r="AG157" s="658"/>
      <c r="AH157" s="658"/>
      <c r="AI157" s="637"/>
      <c r="AJ157" s="637"/>
      <c r="AK157" s="637"/>
      <c r="AL157" s="637"/>
      <c r="AM157" s="637"/>
      <c r="AN157" s="637"/>
      <c r="AO157" s="637"/>
      <c r="AP157" s="637"/>
      <c r="AQ157" s="637"/>
      <c r="AR157" s="637"/>
      <c r="AS157" s="637"/>
      <c r="AT157" s="637"/>
      <c r="AU157" s="637"/>
      <c r="AV157" s="637"/>
      <c r="AW157" s="637"/>
      <c r="AX157" s="637"/>
      <c r="AY157" s="637"/>
      <c r="AZ157" s="637"/>
      <c r="BA157" s="637"/>
      <c r="BB157" s="637"/>
      <c r="BC157" s="637"/>
      <c r="BD157" s="637"/>
      <c r="BE157" s="637"/>
      <c r="BF157" s="637"/>
      <c r="BG157" s="637"/>
      <c r="BH157" s="637"/>
      <c r="BI157" s="637"/>
      <c r="BJ157" s="637"/>
      <c r="BK157" s="637"/>
      <c r="BL157" s="637"/>
      <c r="BM157" s="637"/>
      <c r="BN157" s="637"/>
      <c r="BO157" s="637"/>
      <c r="BP157" s="637"/>
    </row>
    <row r="158" spans="12:68" s="245" customFormat="1">
      <c r="L158" s="658"/>
      <c r="M158" s="673"/>
      <c r="N158" s="673"/>
      <c r="O158" s="658"/>
      <c r="P158" s="658"/>
      <c r="Q158" s="658"/>
      <c r="R158" s="658"/>
      <c r="S158" s="658"/>
      <c r="T158" s="658"/>
      <c r="U158" s="658"/>
      <c r="V158" s="659"/>
      <c r="W158" s="659"/>
      <c r="X158" s="658"/>
      <c r="Y158" s="658"/>
      <c r="Z158" s="658"/>
      <c r="AA158" s="658"/>
      <c r="AB158" s="659"/>
      <c r="AC158" s="659"/>
      <c r="AD158" s="658"/>
      <c r="AE158" s="658"/>
      <c r="AF158" s="658"/>
      <c r="AG158" s="658"/>
      <c r="AH158" s="658"/>
      <c r="AI158" s="637"/>
      <c r="AJ158" s="637"/>
      <c r="AK158" s="637"/>
      <c r="AL158" s="637"/>
      <c r="AM158" s="637"/>
      <c r="AN158" s="637"/>
      <c r="AO158" s="637"/>
      <c r="AP158" s="637"/>
      <c r="AQ158" s="637"/>
      <c r="AR158" s="637"/>
      <c r="AS158" s="637"/>
      <c r="AT158" s="637"/>
      <c r="AU158" s="637"/>
      <c r="AV158" s="637"/>
      <c r="AW158" s="637"/>
      <c r="AX158" s="637"/>
      <c r="AY158" s="637"/>
      <c r="AZ158" s="637"/>
      <c r="BA158" s="637"/>
      <c r="BB158" s="637"/>
      <c r="BC158" s="637"/>
      <c r="BD158" s="637"/>
      <c r="BE158" s="637"/>
      <c r="BF158" s="637"/>
      <c r="BG158" s="637"/>
      <c r="BH158" s="637"/>
      <c r="BI158" s="637"/>
      <c r="BJ158" s="637"/>
      <c r="BK158" s="637"/>
      <c r="BL158" s="637"/>
      <c r="BM158" s="637"/>
      <c r="BN158" s="637"/>
      <c r="BO158" s="637"/>
      <c r="BP158" s="637"/>
    </row>
    <row r="159" spans="12:68" s="245" customFormat="1">
      <c r="L159" s="658"/>
      <c r="M159" s="673"/>
      <c r="N159" s="673"/>
      <c r="O159" s="658"/>
      <c r="P159" s="658"/>
      <c r="Q159" s="658"/>
      <c r="R159" s="658"/>
      <c r="S159" s="658"/>
      <c r="T159" s="658"/>
      <c r="U159" s="658"/>
      <c r="V159" s="659"/>
      <c r="W159" s="659"/>
      <c r="X159" s="658"/>
      <c r="Y159" s="658"/>
      <c r="Z159" s="658"/>
      <c r="AA159" s="658"/>
      <c r="AB159" s="659"/>
      <c r="AC159" s="659"/>
      <c r="AD159" s="658"/>
      <c r="AE159" s="658"/>
      <c r="AF159" s="658"/>
      <c r="AG159" s="658"/>
      <c r="AH159" s="658"/>
      <c r="AI159" s="637"/>
      <c r="AJ159" s="637"/>
      <c r="AK159" s="637"/>
      <c r="AL159" s="637"/>
      <c r="AM159" s="637"/>
      <c r="AN159" s="637"/>
      <c r="AO159" s="637"/>
      <c r="AP159" s="637"/>
      <c r="AQ159" s="637"/>
      <c r="AR159" s="637"/>
      <c r="AS159" s="637"/>
      <c r="AT159" s="637"/>
      <c r="AU159" s="637"/>
      <c r="AV159" s="637"/>
      <c r="AW159" s="637"/>
      <c r="AX159" s="637"/>
      <c r="AY159" s="637"/>
      <c r="AZ159" s="637"/>
      <c r="BA159" s="637"/>
      <c r="BB159" s="637"/>
      <c r="BC159" s="637"/>
      <c r="BD159" s="637"/>
      <c r="BE159" s="637"/>
      <c r="BF159" s="637"/>
      <c r="BG159" s="637"/>
      <c r="BH159" s="637"/>
      <c r="BI159" s="637"/>
      <c r="BJ159" s="637"/>
      <c r="BK159" s="637"/>
      <c r="BL159" s="637"/>
      <c r="BM159" s="637"/>
      <c r="BN159" s="637"/>
      <c r="BO159" s="637"/>
      <c r="BP159" s="637"/>
    </row>
    <row r="160" spans="12:68" s="245" customFormat="1">
      <c r="L160" s="658"/>
      <c r="M160" s="673"/>
      <c r="N160" s="673"/>
      <c r="O160" s="658"/>
      <c r="P160" s="658"/>
      <c r="Q160" s="658"/>
      <c r="R160" s="658"/>
      <c r="S160" s="658"/>
      <c r="T160" s="658"/>
      <c r="U160" s="658"/>
      <c r="V160" s="659"/>
      <c r="W160" s="659"/>
      <c r="X160" s="658"/>
      <c r="Y160" s="658"/>
      <c r="Z160" s="658"/>
      <c r="AA160" s="658"/>
      <c r="AB160" s="659"/>
      <c r="AC160" s="659"/>
      <c r="AD160" s="658"/>
      <c r="AE160" s="658"/>
      <c r="AF160" s="658"/>
      <c r="AG160" s="658"/>
      <c r="AH160" s="658"/>
      <c r="AI160" s="637"/>
      <c r="AJ160" s="637"/>
      <c r="AK160" s="637"/>
      <c r="AL160" s="637"/>
      <c r="AM160" s="637"/>
      <c r="AN160" s="637"/>
      <c r="AO160" s="637"/>
      <c r="AP160" s="637"/>
      <c r="AQ160" s="637"/>
      <c r="AR160" s="637"/>
      <c r="AS160" s="637"/>
      <c r="AT160" s="637"/>
      <c r="AU160" s="637"/>
      <c r="AV160" s="637"/>
      <c r="AW160" s="637"/>
      <c r="AX160" s="637"/>
      <c r="AY160" s="637"/>
      <c r="AZ160" s="637"/>
      <c r="BA160" s="637"/>
      <c r="BB160" s="637"/>
      <c r="BC160" s="637"/>
      <c r="BD160" s="637"/>
      <c r="BE160" s="637"/>
      <c r="BF160" s="637"/>
      <c r="BG160" s="637"/>
      <c r="BH160" s="637"/>
      <c r="BI160" s="637"/>
      <c r="BJ160" s="637"/>
      <c r="BK160" s="637"/>
      <c r="BL160" s="637"/>
      <c r="BM160" s="637"/>
      <c r="BN160" s="637"/>
      <c r="BO160" s="637"/>
      <c r="BP160" s="637"/>
    </row>
    <row r="161" spans="12:68" s="245" customFormat="1">
      <c r="L161" s="658"/>
      <c r="M161" s="673"/>
      <c r="N161" s="673"/>
      <c r="O161" s="658"/>
      <c r="P161" s="658"/>
      <c r="Q161" s="658"/>
      <c r="R161" s="658"/>
      <c r="S161" s="658"/>
      <c r="T161" s="658"/>
      <c r="U161" s="658"/>
      <c r="V161" s="659"/>
      <c r="W161" s="659"/>
      <c r="X161" s="658"/>
      <c r="Y161" s="658"/>
      <c r="Z161" s="658"/>
      <c r="AA161" s="658"/>
      <c r="AB161" s="659"/>
      <c r="AC161" s="659"/>
      <c r="AD161" s="658"/>
      <c r="AE161" s="658"/>
      <c r="AF161" s="658"/>
      <c r="AG161" s="658"/>
      <c r="AH161" s="658"/>
      <c r="AI161" s="637"/>
      <c r="AJ161" s="637"/>
      <c r="AK161" s="637"/>
      <c r="AL161" s="637"/>
      <c r="AM161" s="637"/>
      <c r="AN161" s="637"/>
      <c r="AO161" s="637"/>
      <c r="AP161" s="637"/>
      <c r="AQ161" s="637"/>
      <c r="AR161" s="637"/>
      <c r="AS161" s="637"/>
      <c r="AT161" s="637"/>
      <c r="AU161" s="637"/>
      <c r="AV161" s="637"/>
      <c r="AW161" s="637"/>
      <c r="AX161" s="637"/>
      <c r="AY161" s="637"/>
      <c r="AZ161" s="637"/>
      <c r="BA161" s="637"/>
      <c r="BB161" s="637"/>
      <c r="BC161" s="637"/>
      <c r="BD161" s="637"/>
      <c r="BE161" s="637"/>
      <c r="BF161" s="637"/>
      <c r="BG161" s="637"/>
      <c r="BH161" s="637"/>
      <c r="BI161" s="637"/>
      <c r="BJ161" s="637"/>
      <c r="BK161" s="637"/>
      <c r="BL161" s="637"/>
      <c r="BM161" s="637"/>
      <c r="BN161" s="637"/>
      <c r="BO161" s="637"/>
      <c r="BP161" s="637"/>
    </row>
    <row r="162" spans="12:68" s="245" customFormat="1">
      <c r="L162" s="658"/>
      <c r="M162" s="673"/>
      <c r="N162" s="673"/>
      <c r="O162" s="658"/>
      <c r="P162" s="658"/>
      <c r="Q162" s="658"/>
      <c r="R162" s="658"/>
      <c r="S162" s="658"/>
      <c r="T162" s="658"/>
      <c r="U162" s="658"/>
      <c r="V162" s="659"/>
      <c r="W162" s="659"/>
      <c r="X162" s="658"/>
      <c r="Y162" s="658"/>
      <c r="Z162" s="658"/>
      <c r="AA162" s="658"/>
      <c r="AB162" s="659"/>
      <c r="AC162" s="659"/>
      <c r="AD162" s="658"/>
      <c r="AE162" s="658"/>
      <c r="AF162" s="658"/>
      <c r="AG162" s="658"/>
      <c r="AH162" s="658"/>
      <c r="AI162" s="637"/>
      <c r="AJ162" s="637"/>
      <c r="AK162" s="637"/>
      <c r="AL162" s="637"/>
      <c r="AM162" s="637"/>
      <c r="AN162" s="637"/>
      <c r="AO162" s="637"/>
      <c r="AP162" s="637"/>
      <c r="AQ162" s="637"/>
      <c r="AR162" s="637"/>
      <c r="AS162" s="637"/>
      <c r="AT162" s="637"/>
      <c r="AU162" s="637"/>
      <c r="AV162" s="637"/>
      <c r="AW162" s="637"/>
      <c r="AX162" s="637"/>
      <c r="AY162" s="637"/>
      <c r="AZ162" s="637"/>
      <c r="BA162" s="637"/>
      <c r="BB162" s="637"/>
      <c r="BC162" s="637"/>
      <c r="BD162" s="637"/>
      <c r="BE162" s="637"/>
      <c r="BF162" s="637"/>
      <c r="BG162" s="637"/>
      <c r="BH162" s="637"/>
      <c r="BI162" s="637"/>
      <c r="BJ162" s="637"/>
      <c r="BK162" s="637"/>
      <c r="BL162" s="637"/>
      <c r="BM162" s="637"/>
      <c r="BN162" s="637"/>
      <c r="BO162" s="637"/>
      <c r="BP162" s="637"/>
    </row>
    <row r="163" spans="12:68" s="245" customFormat="1">
      <c r="L163" s="658"/>
      <c r="M163" s="673"/>
      <c r="N163" s="673"/>
      <c r="O163" s="658"/>
      <c r="P163" s="658"/>
      <c r="Q163" s="658"/>
      <c r="R163" s="658"/>
      <c r="S163" s="658"/>
      <c r="T163" s="658"/>
      <c r="U163" s="658"/>
      <c r="V163" s="659"/>
      <c r="W163" s="659"/>
      <c r="X163" s="658"/>
      <c r="Y163" s="658"/>
      <c r="Z163" s="658"/>
      <c r="AA163" s="658"/>
      <c r="AB163" s="659"/>
      <c r="AC163" s="659"/>
      <c r="AD163" s="658"/>
      <c r="AE163" s="658"/>
      <c r="AF163" s="658"/>
      <c r="AG163" s="658"/>
      <c r="AH163" s="658"/>
      <c r="AI163" s="637"/>
      <c r="AJ163" s="637"/>
      <c r="AK163" s="637"/>
      <c r="AL163" s="637"/>
      <c r="AM163" s="637"/>
      <c r="AN163" s="637"/>
      <c r="AO163" s="637"/>
      <c r="AP163" s="637"/>
      <c r="AQ163" s="637"/>
      <c r="AR163" s="637"/>
      <c r="AS163" s="637"/>
      <c r="AT163" s="637"/>
      <c r="AU163" s="637"/>
      <c r="AV163" s="637"/>
      <c r="AW163" s="637"/>
      <c r="AX163" s="637"/>
      <c r="AY163" s="637"/>
      <c r="AZ163" s="637"/>
      <c r="BA163" s="637"/>
      <c r="BB163" s="637"/>
      <c r="BC163" s="637"/>
      <c r="BD163" s="637"/>
      <c r="BE163" s="637"/>
      <c r="BF163" s="637"/>
      <c r="BG163" s="637"/>
      <c r="BH163" s="637"/>
      <c r="BI163" s="637"/>
      <c r="BJ163" s="637"/>
      <c r="BK163" s="637"/>
      <c r="BL163" s="637"/>
      <c r="BM163" s="637"/>
      <c r="BN163" s="637"/>
      <c r="BO163" s="637"/>
      <c r="BP163" s="637"/>
    </row>
    <row r="164" spans="12:68" s="245" customFormat="1">
      <c r="L164" s="658"/>
      <c r="M164" s="673"/>
      <c r="N164" s="673"/>
      <c r="O164" s="658"/>
      <c r="P164" s="658"/>
      <c r="Q164" s="658"/>
      <c r="R164" s="658"/>
      <c r="S164" s="658"/>
      <c r="T164" s="658"/>
      <c r="U164" s="658"/>
      <c r="V164" s="659"/>
      <c r="W164" s="659"/>
      <c r="X164" s="658"/>
      <c r="Y164" s="658"/>
      <c r="Z164" s="658"/>
      <c r="AA164" s="658"/>
      <c r="AB164" s="659"/>
      <c r="AC164" s="659"/>
      <c r="AD164" s="658"/>
      <c r="AE164" s="658"/>
      <c r="AF164" s="658"/>
      <c r="AG164" s="658"/>
      <c r="AH164" s="658"/>
      <c r="AI164" s="637"/>
      <c r="AJ164" s="637"/>
      <c r="AK164" s="637"/>
      <c r="AL164" s="637"/>
      <c r="AM164" s="637"/>
      <c r="AN164" s="637"/>
      <c r="AO164" s="637"/>
      <c r="AP164" s="637"/>
      <c r="AQ164" s="637"/>
      <c r="AR164" s="637"/>
      <c r="AS164" s="637"/>
      <c r="AT164" s="637"/>
      <c r="AU164" s="637"/>
      <c r="AV164" s="637"/>
      <c r="AW164" s="637"/>
      <c r="AX164" s="637"/>
      <c r="AY164" s="637"/>
      <c r="AZ164" s="637"/>
      <c r="BA164" s="637"/>
      <c r="BB164" s="637"/>
      <c r="BC164" s="637"/>
      <c r="BD164" s="637"/>
      <c r="BE164" s="637"/>
      <c r="BF164" s="637"/>
      <c r="BG164" s="637"/>
      <c r="BH164" s="637"/>
      <c r="BI164" s="637"/>
      <c r="BJ164" s="637"/>
      <c r="BK164" s="637"/>
      <c r="BL164" s="637"/>
      <c r="BM164" s="637"/>
      <c r="BN164" s="637"/>
      <c r="BO164" s="637"/>
      <c r="BP164" s="637"/>
    </row>
    <row r="165" spans="12:68" s="245" customFormat="1">
      <c r="L165" s="658"/>
      <c r="M165" s="673"/>
      <c r="N165" s="673"/>
      <c r="O165" s="658"/>
      <c r="P165" s="658"/>
      <c r="Q165" s="658"/>
      <c r="R165" s="658"/>
      <c r="S165" s="658"/>
      <c r="T165" s="658"/>
      <c r="U165" s="658"/>
      <c r="V165" s="659"/>
      <c r="W165" s="659"/>
      <c r="X165" s="658"/>
      <c r="Y165" s="658"/>
      <c r="Z165" s="658"/>
      <c r="AA165" s="658"/>
      <c r="AB165" s="659"/>
      <c r="AC165" s="659"/>
      <c r="AD165" s="658"/>
      <c r="AE165" s="658"/>
      <c r="AF165" s="658"/>
      <c r="AG165" s="658"/>
      <c r="AH165" s="658"/>
      <c r="AI165" s="637"/>
      <c r="AJ165" s="637"/>
      <c r="AK165" s="637"/>
      <c r="AL165" s="637"/>
      <c r="AM165" s="637"/>
      <c r="AN165" s="637"/>
      <c r="AO165" s="637"/>
      <c r="AP165" s="637"/>
      <c r="AQ165" s="637"/>
      <c r="AR165" s="637"/>
      <c r="AS165" s="637"/>
      <c r="AT165" s="637"/>
      <c r="AU165" s="637"/>
      <c r="AV165" s="637"/>
      <c r="AW165" s="637"/>
      <c r="AX165" s="637"/>
      <c r="AY165" s="637"/>
      <c r="AZ165" s="637"/>
      <c r="BA165" s="637"/>
      <c r="BB165" s="637"/>
      <c r="BC165" s="637"/>
      <c r="BD165" s="637"/>
      <c r="BE165" s="637"/>
      <c r="BF165" s="637"/>
      <c r="BG165" s="637"/>
      <c r="BH165" s="637"/>
      <c r="BI165" s="637"/>
      <c r="BJ165" s="637"/>
      <c r="BK165" s="637"/>
      <c r="BL165" s="637"/>
      <c r="BM165" s="637"/>
      <c r="BN165" s="637"/>
      <c r="BO165" s="637"/>
      <c r="BP165" s="637"/>
    </row>
    <row r="166" spans="12:68" s="245" customFormat="1">
      <c r="L166" s="658"/>
      <c r="M166" s="673"/>
      <c r="N166" s="673"/>
      <c r="O166" s="658"/>
      <c r="P166" s="658"/>
      <c r="Q166" s="658"/>
      <c r="R166" s="658"/>
      <c r="S166" s="658"/>
      <c r="T166" s="658"/>
      <c r="U166" s="658"/>
      <c r="V166" s="659"/>
      <c r="W166" s="659"/>
      <c r="X166" s="658"/>
      <c r="Y166" s="658"/>
      <c r="Z166" s="658"/>
      <c r="AA166" s="658"/>
      <c r="AB166" s="659"/>
      <c r="AC166" s="659"/>
      <c r="AD166" s="658"/>
      <c r="AE166" s="658"/>
      <c r="AF166" s="658"/>
      <c r="AG166" s="658"/>
      <c r="AH166" s="658"/>
      <c r="AI166" s="637"/>
      <c r="AJ166" s="637"/>
      <c r="AK166" s="637"/>
      <c r="AL166" s="637"/>
      <c r="AM166" s="637"/>
      <c r="AN166" s="637"/>
      <c r="AO166" s="637"/>
      <c r="AP166" s="637"/>
      <c r="AQ166" s="637"/>
      <c r="AR166" s="637"/>
      <c r="AS166" s="637"/>
      <c r="AT166" s="637"/>
      <c r="AU166" s="637"/>
      <c r="AV166" s="637"/>
      <c r="AW166" s="637"/>
      <c r="AX166" s="637"/>
      <c r="AY166" s="637"/>
      <c r="AZ166" s="637"/>
      <c r="BA166" s="637"/>
      <c r="BB166" s="637"/>
      <c r="BC166" s="637"/>
      <c r="BD166" s="637"/>
      <c r="BE166" s="637"/>
      <c r="BF166" s="637"/>
      <c r="BG166" s="637"/>
      <c r="BH166" s="637"/>
      <c r="BI166" s="637"/>
      <c r="BJ166" s="637"/>
      <c r="BK166" s="637"/>
      <c r="BL166" s="637"/>
      <c r="BM166" s="637"/>
      <c r="BN166" s="637"/>
      <c r="BO166" s="637"/>
      <c r="BP166" s="637"/>
    </row>
    <row r="167" spans="12:68" s="245" customFormat="1">
      <c r="L167" s="658"/>
      <c r="M167" s="673"/>
      <c r="N167" s="673"/>
      <c r="O167" s="658"/>
      <c r="P167" s="658"/>
      <c r="Q167" s="658"/>
      <c r="R167" s="658"/>
      <c r="S167" s="658"/>
      <c r="T167" s="658"/>
      <c r="U167" s="658"/>
      <c r="V167" s="659"/>
      <c r="W167" s="659"/>
      <c r="X167" s="658"/>
      <c r="Y167" s="658"/>
      <c r="Z167" s="658"/>
      <c r="AA167" s="658"/>
      <c r="AB167" s="659"/>
      <c r="AC167" s="659"/>
      <c r="AD167" s="658"/>
      <c r="AE167" s="658"/>
      <c r="AF167" s="658"/>
      <c r="AG167" s="658"/>
      <c r="AH167" s="658"/>
      <c r="AI167" s="637"/>
      <c r="AJ167" s="637"/>
      <c r="AK167" s="637"/>
      <c r="AL167" s="637"/>
      <c r="AM167" s="637"/>
      <c r="AN167" s="637"/>
      <c r="AO167" s="637"/>
      <c r="AP167" s="637"/>
      <c r="AQ167" s="637"/>
      <c r="AR167" s="637"/>
      <c r="AS167" s="637"/>
      <c r="AT167" s="637"/>
      <c r="AU167" s="637"/>
      <c r="AV167" s="637"/>
      <c r="AW167" s="637"/>
      <c r="AX167" s="637"/>
      <c r="AY167" s="637"/>
      <c r="AZ167" s="637"/>
      <c r="BA167" s="637"/>
      <c r="BB167" s="637"/>
      <c r="BC167" s="637"/>
      <c r="BD167" s="637"/>
      <c r="BE167" s="637"/>
      <c r="BF167" s="637"/>
      <c r="BG167" s="637"/>
      <c r="BH167" s="637"/>
      <c r="BI167" s="637"/>
      <c r="BJ167" s="637"/>
      <c r="BK167" s="637"/>
      <c r="BL167" s="637"/>
      <c r="BM167" s="637"/>
      <c r="BN167" s="637"/>
      <c r="BO167" s="637"/>
      <c r="BP167" s="637"/>
    </row>
    <row r="168" spans="12:68" s="245" customFormat="1">
      <c r="L168" s="658"/>
      <c r="M168" s="673"/>
      <c r="N168" s="673"/>
      <c r="O168" s="658"/>
      <c r="P168" s="658"/>
      <c r="Q168" s="658"/>
      <c r="R168" s="658"/>
      <c r="S168" s="658"/>
      <c r="T168" s="658"/>
      <c r="U168" s="658"/>
      <c r="V168" s="659"/>
      <c r="W168" s="659"/>
      <c r="X168" s="658"/>
      <c r="Y168" s="658"/>
      <c r="Z168" s="658"/>
      <c r="AA168" s="658"/>
      <c r="AB168" s="659"/>
      <c r="AC168" s="659"/>
      <c r="AD168" s="658"/>
      <c r="AE168" s="658"/>
      <c r="AF168" s="658"/>
      <c r="AG168" s="658"/>
      <c r="AH168" s="658"/>
      <c r="AI168" s="637"/>
      <c r="AJ168" s="637"/>
      <c r="AK168" s="637"/>
      <c r="AL168" s="637"/>
      <c r="AM168" s="637"/>
      <c r="AN168" s="637"/>
      <c r="AO168" s="637"/>
      <c r="AP168" s="637"/>
      <c r="AQ168" s="637"/>
      <c r="AR168" s="637"/>
      <c r="AS168" s="637"/>
      <c r="AT168" s="637"/>
      <c r="AU168" s="637"/>
      <c r="AV168" s="637"/>
      <c r="AW168" s="637"/>
      <c r="AX168" s="637"/>
      <c r="AY168" s="637"/>
      <c r="AZ168" s="637"/>
      <c r="BA168" s="637"/>
      <c r="BB168" s="637"/>
      <c r="BC168" s="637"/>
      <c r="BD168" s="637"/>
      <c r="BE168" s="637"/>
      <c r="BF168" s="637"/>
      <c r="BG168" s="637"/>
      <c r="BH168" s="637"/>
      <c r="BI168" s="637"/>
      <c r="BJ168" s="637"/>
      <c r="BK168" s="637"/>
      <c r="BL168" s="637"/>
      <c r="BM168" s="637"/>
      <c r="BN168" s="637"/>
      <c r="BO168" s="637"/>
      <c r="BP168" s="637"/>
    </row>
    <row r="169" spans="12:68" s="245" customFormat="1">
      <c r="L169" s="658"/>
      <c r="M169" s="673"/>
      <c r="N169" s="673"/>
      <c r="O169" s="658"/>
      <c r="P169" s="658"/>
      <c r="Q169" s="658"/>
      <c r="R169" s="658"/>
      <c r="S169" s="658"/>
      <c r="T169" s="658"/>
      <c r="U169" s="658"/>
      <c r="V169" s="659"/>
      <c r="W169" s="659"/>
      <c r="X169" s="658"/>
      <c r="Y169" s="658"/>
      <c r="Z169" s="658"/>
      <c r="AA169" s="658"/>
      <c r="AB169" s="659"/>
      <c r="AC169" s="659"/>
      <c r="AD169" s="658"/>
      <c r="AE169" s="658"/>
      <c r="AF169" s="658"/>
      <c r="AG169" s="658"/>
      <c r="AH169" s="658"/>
      <c r="AI169" s="637"/>
      <c r="AJ169" s="637"/>
      <c r="AK169" s="637"/>
      <c r="AL169" s="637"/>
      <c r="AM169" s="637"/>
      <c r="AN169" s="637"/>
      <c r="AO169" s="637"/>
      <c r="AP169" s="637"/>
      <c r="AQ169" s="637"/>
      <c r="AR169" s="637"/>
      <c r="AS169" s="637"/>
      <c r="AT169" s="637"/>
      <c r="AU169" s="637"/>
      <c r="AV169" s="637"/>
      <c r="AW169" s="637"/>
      <c r="AX169" s="637"/>
      <c r="AY169" s="637"/>
      <c r="AZ169" s="637"/>
      <c r="BA169" s="637"/>
      <c r="BB169" s="637"/>
      <c r="BC169" s="637"/>
      <c r="BD169" s="637"/>
      <c r="BE169" s="637"/>
      <c r="BF169" s="637"/>
      <c r="BG169" s="637"/>
      <c r="BH169" s="637"/>
      <c r="BI169" s="637"/>
      <c r="BJ169" s="637"/>
      <c r="BK169" s="637"/>
      <c r="BL169" s="637"/>
      <c r="BM169" s="637"/>
      <c r="BN169" s="637"/>
      <c r="BO169" s="637"/>
      <c r="BP169" s="637"/>
    </row>
    <row r="170" spans="12:68" s="245" customFormat="1">
      <c r="L170" s="658"/>
      <c r="M170" s="673"/>
      <c r="N170" s="673"/>
      <c r="O170" s="658"/>
      <c r="P170" s="658"/>
      <c r="Q170" s="658"/>
      <c r="R170" s="658"/>
      <c r="S170" s="658"/>
      <c r="T170" s="658"/>
      <c r="U170" s="658"/>
      <c r="V170" s="659"/>
      <c r="W170" s="659"/>
      <c r="X170" s="658"/>
      <c r="Y170" s="658"/>
      <c r="Z170" s="658"/>
      <c r="AA170" s="658"/>
      <c r="AB170" s="659"/>
      <c r="AC170" s="659"/>
      <c r="AD170" s="658"/>
      <c r="AE170" s="658"/>
      <c r="AF170" s="658"/>
      <c r="AG170" s="658"/>
      <c r="AH170" s="658"/>
      <c r="AI170" s="637"/>
      <c r="AJ170" s="637"/>
      <c r="AK170" s="637"/>
      <c r="AL170" s="637"/>
      <c r="AM170" s="637"/>
      <c r="AN170" s="637"/>
      <c r="AO170" s="637"/>
      <c r="AP170" s="637"/>
      <c r="AQ170" s="637"/>
      <c r="AR170" s="637"/>
      <c r="AS170" s="637"/>
      <c r="AT170" s="637"/>
      <c r="AU170" s="637"/>
      <c r="AV170" s="637"/>
      <c r="AW170" s="637"/>
      <c r="AX170" s="637"/>
      <c r="AY170" s="637"/>
      <c r="AZ170" s="637"/>
      <c r="BA170" s="637"/>
      <c r="BB170" s="637"/>
      <c r="BC170" s="637"/>
      <c r="BD170" s="637"/>
      <c r="BE170" s="637"/>
      <c r="BF170" s="637"/>
      <c r="BG170" s="637"/>
      <c r="BH170" s="637"/>
      <c r="BI170" s="637"/>
      <c r="BJ170" s="637"/>
      <c r="BK170" s="637"/>
      <c r="BL170" s="637"/>
      <c r="BM170" s="637"/>
      <c r="BN170" s="637"/>
      <c r="BO170" s="637"/>
      <c r="BP170" s="637"/>
    </row>
    <row r="171" spans="12:68" s="245" customFormat="1">
      <c r="L171" s="658"/>
      <c r="M171" s="673"/>
      <c r="N171" s="673"/>
      <c r="O171" s="658"/>
      <c r="P171" s="658"/>
      <c r="Q171" s="658"/>
      <c r="R171" s="658"/>
      <c r="S171" s="658"/>
      <c r="T171" s="658"/>
      <c r="U171" s="658"/>
      <c r="V171" s="659"/>
      <c r="W171" s="659"/>
      <c r="X171" s="658"/>
      <c r="Y171" s="658"/>
      <c r="Z171" s="658"/>
      <c r="AA171" s="658"/>
      <c r="AB171" s="659"/>
      <c r="AC171" s="659"/>
      <c r="AD171" s="658"/>
      <c r="AE171" s="658"/>
      <c r="AF171" s="658"/>
      <c r="AG171" s="658"/>
      <c r="AH171" s="658"/>
      <c r="AI171" s="637"/>
      <c r="AJ171" s="637"/>
      <c r="AK171" s="637"/>
      <c r="AL171" s="637"/>
      <c r="AM171" s="637"/>
      <c r="AN171" s="637"/>
      <c r="AO171" s="637"/>
      <c r="AP171" s="637"/>
      <c r="AQ171" s="637"/>
      <c r="AR171" s="637"/>
      <c r="AS171" s="637"/>
      <c r="AT171" s="637"/>
      <c r="AU171" s="637"/>
      <c r="AV171" s="637"/>
      <c r="AW171" s="637"/>
      <c r="AX171" s="637"/>
      <c r="AY171" s="637"/>
      <c r="AZ171" s="637"/>
      <c r="BA171" s="637"/>
      <c r="BB171" s="637"/>
      <c r="BC171" s="637"/>
      <c r="BD171" s="637"/>
      <c r="BE171" s="637"/>
      <c r="BF171" s="637"/>
      <c r="BG171" s="637"/>
      <c r="BH171" s="637"/>
      <c r="BI171" s="637"/>
      <c r="BJ171" s="637"/>
      <c r="BK171" s="637"/>
      <c r="BL171" s="637"/>
      <c r="BM171" s="637"/>
      <c r="BN171" s="637"/>
      <c r="BO171" s="637"/>
      <c r="BP171" s="637"/>
    </row>
    <row r="172" spans="12:68" s="245" customFormat="1">
      <c r="L172" s="658"/>
      <c r="M172" s="673"/>
      <c r="N172" s="673"/>
      <c r="O172" s="658"/>
      <c r="P172" s="658"/>
      <c r="Q172" s="658"/>
      <c r="R172" s="658"/>
      <c r="S172" s="658"/>
      <c r="T172" s="658"/>
      <c r="U172" s="658"/>
      <c r="V172" s="659"/>
      <c r="W172" s="659"/>
      <c r="X172" s="658"/>
      <c r="Y172" s="658"/>
      <c r="Z172" s="658"/>
      <c r="AA172" s="658"/>
      <c r="AB172" s="659"/>
      <c r="AC172" s="659"/>
      <c r="AD172" s="658"/>
      <c r="AE172" s="658"/>
      <c r="AF172" s="658"/>
      <c r="AG172" s="658"/>
      <c r="AH172" s="658"/>
      <c r="AI172" s="637"/>
      <c r="AJ172" s="637"/>
      <c r="AK172" s="637"/>
      <c r="AL172" s="637"/>
      <c r="AM172" s="637"/>
      <c r="AN172" s="637"/>
      <c r="AO172" s="637"/>
      <c r="AP172" s="637"/>
      <c r="AQ172" s="637"/>
      <c r="AR172" s="637"/>
      <c r="AS172" s="637"/>
      <c r="AT172" s="637"/>
      <c r="AU172" s="637"/>
      <c r="AV172" s="637"/>
      <c r="AW172" s="637"/>
      <c r="AX172" s="637"/>
      <c r="AY172" s="637"/>
      <c r="AZ172" s="637"/>
      <c r="BA172" s="637"/>
      <c r="BB172" s="637"/>
      <c r="BC172" s="637"/>
      <c r="BD172" s="637"/>
      <c r="BE172" s="637"/>
      <c r="BF172" s="637"/>
      <c r="BG172" s="637"/>
      <c r="BH172" s="637"/>
      <c r="BI172" s="637"/>
      <c r="BJ172" s="637"/>
      <c r="BK172" s="637"/>
      <c r="BL172" s="637"/>
      <c r="BM172" s="637"/>
      <c r="BN172" s="637"/>
      <c r="BO172" s="637"/>
      <c r="BP172" s="637"/>
    </row>
    <row r="173" spans="12:68" s="245" customFormat="1">
      <c r="L173" s="658"/>
      <c r="M173" s="673"/>
      <c r="N173" s="673"/>
      <c r="O173" s="658"/>
      <c r="P173" s="658"/>
      <c r="Q173" s="658"/>
      <c r="R173" s="658"/>
      <c r="S173" s="658"/>
      <c r="T173" s="658"/>
      <c r="U173" s="658"/>
      <c r="V173" s="659"/>
      <c r="W173" s="659"/>
      <c r="X173" s="658"/>
      <c r="Y173" s="658"/>
      <c r="Z173" s="658"/>
      <c r="AA173" s="658"/>
      <c r="AB173" s="659"/>
      <c r="AC173" s="659"/>
      <c r="AD173" s="658"/>
      <c r="AE173" s="658"/>
      <c r="AF173" s="658"/>
      <c r="AG173" s="658"/>
      <c r="AH173" s="658"/>
      <c r="AI173" s="637"/>
      <c r="AJ173" s="637"/>
      <c r="AK173" s="637"/>
      <c r="AL173" s="637"/>
      <c r="AM173" s="637"/>
      <c r="AN173" s="637"/>
      <c r="AO173" s="637"/>
      <c r="AP173" s="637"/>
      <c r="AQ173" s="637"/>
      <c r="AR173" s="637"/>
      <c r="AS173" s="637"/>
      <c r="AT173" s="637"/>
      <c r="AU173" s="637"/>
      <c r="AV173" s="637"/>
      <c r="AW173" s="637"/>
      <c r="AX173" s="637"/>
      <c r="AY173" s="637"/>
      <c r="AZ173" s="637"/>
      <c r="BA173" s="637"/>
      <c r="BB173" s="637"/>
      <c r="BC173" s="637"/>
      <c r="BD173" s="637"/>
      <c r="BE173" s="637"/>
      <c r="BF173" s="637"/>
      <c r="BG173" s="637"/>
      <c r="BH173" s="637"/>
      <c r="BI173" s="637"/>
      <c r="BJ173" s="637"/>
      <c r="BK173" s="637"/>
      <c r="BL173" s="637"/>
      <c r="BM173" s="637"/>
      <c r="BN173" s="637"/>
      <c r="BO173" s="637"/>
      <c r="BP173" s="637"/>
    </row>
    <row r="174" spans="12:68">
      <c r="L174" s="658"/>
      <c r="M174" s="673"/>
      <c r="N174" s="673"/>
      <c r="O174" s="658"/>
      <c r="P174" s="658"/>
      <c r="Q174" s="658"/>
      <c r="R174" s="658"/>
      <c r="S174" s="658"/>
      <c r="T174" s="658"/>
      <c r="U174" s="658"/>
      <c r="V174" s="659"/>
      <c r="W174" s="659"/>
      <c r="X174" s="658"/>
      <c r="Y174" s="658"/>
      <c r="Z174" s="658"/>
      <c r="AA174" s="658"/>
      <c r="AB174" s="659"/>
      <c r="AC174" s="659"/>
      <c r="AD174" s="658"/>
      <c r="AE174" s="658"/>
      <c r="AF174" s="658"/>
      <c r="AG174" s="658"/>
      <c r="AH174" s="658"/>
      <c r="AI174" s="656"/>
      <c r="AJ174" s="656"/>
      <c r="AK174" s="656"/>
      <c r="AL174" s="656"/>
      <c r="AM174" s="656"/>
      <c r="AN174" s="656"/>
      <c r="AO174" s="656"/>
      <c r="AP174" s="656"/>
      <c r="AQ174" s="656"/>
      <c r="AR174" s="656"/>
      <c r="AS174" s="656"/>
      <c r="AT174" s="656"/>
      <c r="AU174" s="656"/>
      <c r="AV174" s="656"/>
      <c r="AW174" s="656"/>
      <c r="AX174" s="656"/>
      <c r="AY174" s="656"/>
      <c r="AZ174" s="656"/>
      <c r="BA174" s="656"/>
      <c r="BB174" s="656"/>
      <c r="BC174" s="656"/>
      <c r="BD174" s="656"/>
      <c r="BE174" s="656"/>
      <c r="BF174" s="656"/>
      <c r="BG174" s="656"/>
      <c r="BH174" s="656"/>
      <c r="BI174" s="656"/>
      <c r="BJ174" s="656"/>
      <c r="BK174" s="656"/>
      <c r="BL174" s="656"/>
      <c r="BM174" s="656"/>
      <c r="BN174" s="656"/>
      <c r="BO174" s="656"/>
      <c r="BP174" s="656"/>
    </row>
    <row r="175" spans="12:68">
      <c r="L175" s="658"/>
      <c r="M175" s="673"/>
      <c r="N175" s="673"/>
      <c r="O175" s="658"/>
      <c r="P175" s="658"/>
      <c r="Q175" s="658"/>
      <c r="R175" s="658"/>
      <c r="S175" s="658"/>
      <c r="T175" s="658"/>
      <c r="U175" s="658"/>
      <c r="V175" s="659"/>
      <c r="W175" s="659"/>
      <c r="X175" s="658"/>
      <c r="Y175" s="658"/>
      <c r="Z175" s="658"/>
      <c r="AA175" s="658"/>
      <c r="AB175" s="659"/>
      <c r="AC175" s="659"/>
      <c r="AD175" s="658"/>
      <c r="AE175" s="658"/>
      <c r="AF175" s="658"/>
      <c r="AG175" s="658"/>
      <c r="AH175" s="658"/>
      <c r="AI175" s="656"/>
      <c r="AJ175" s="656"/>
      <c r="AK175" s="656"/>
      <c r="AL175" s="656"/>
      <c r="AM175" s="656"/>
      <c r="AN175" s="656"/>
      <c r="AO175" s="656"/>
      <c r="AP175" s="656"/>
      <c r="AQ175" s="656"/>
      <c r="AR175" s="656"/>
      <c r="AS175" s="656"/>
      <c r="AT175" s="656"/>
      <c r="AU175" s="656"/>
      <c r="AV175" s="656"/>
      <c r="AW175" s="656"/>
      <c r="AX175" s="656"/>
      <c r="AY175" s="656"/>
      <c r="AZ175" s="656"/>
      <c r="BA175" s="656"/>
      <c r="BB175" s="656"/>
      <c r="BC175" s="656"/>
      <c r="BD175" s="656"/>
      <c r="BE175" s="656"/>
      <c r="BF175" s="656"/>
      <c r="BG175" s="656"/>
      <c r="BH175" s="656"/>
      <c r="BI175" s="656"/>
      <c r="BJ175" s="656"/>
      <c r="BK175" s="656"/>
      <c r="BL175" s="656"/>
      <c r="BM175" s="656"/>
      <c r="BN175" s="656"/>
      <c r="BO175" s="656"/>
      <c r="BP175" s="656"/>
    </row>
    <row r="176" spans="12:68">
      <c r="L176" s="658"/>
      <c r="M176" s="673"/>
      <c r="N176" s="673"/>
      <c r="O176" s="658"/>
      <c r="P176" s="658"/>
      <c r="Q176" s="658"/>
      <c r="R176" s="658"/>
      <c r="S176" s="658"/>
      <c r="T176" s="658"/>
      <c r="U176" s="658"/>
      <c r="V176" s="659"/>
      <c r="W176" s="659"/>
      <c r="X176" s="658"/>
      <c r="Y176" s="658"/>
      <c r="Z176" s="658"/>
      <c r="AA176" s="658"/>
      <c r="AB176" s="659"/>
      <c r="AC176" s="659"/>
      <c r="AD176" s="658"/>
      <c r="AE176" s="658"/>
      <c r="AF176" s="658"/>
      <c r="AG176" s="658"/>
      <c r="AH176" s="658"/>
      <c r="AI176" s="656"/>
      <c r="AJ176" s="656"/>
      <c r="AK176" s="656"/>
      <c r="AL176" s="656"/>
      <c r="AM176" s="656"/>
      <c r="AN176" s="656"/>
      <c r="AO176" s="656"/>
      <c r="AP176" s="656"/>
      <c r="AQ176" s="656"/>
      <c r="AR176" s="656"/>
      <c r="AS176" s="656"/>
      <c r="AT176" s="656"/>
      <c r="AU176" s="656"/>
      <c r="AV176" s="656"/>
      <c r="AW176" s="656"/>
      <c r="AX176" s="656"/>
      <c r="AY176" s="656"/>
      <c r="AZ176" s="656"/>
      <c r="BA176" s="656"/>
      <c r="BB176" s="656"/>
      <c r="BC176" s="656"/>
      <c r="BD176" s="656"/>
      <c r="BE176" s="656"/>
      <c r="BF176" s="656"/>
      <c r="BG176" s="656"/>
      <c r="BH176" s="656"/>
      <c r="BI176" s="656"/>
      <c r="BJ176" s="656"/>
      <c r="BK176" s="656"/>
      <c r="BL176" s="656"/>
      <c r="BM176" s="656"/>
      <c r="BN176" s="656"/>
      <c r="BO176" s="656"/>
      <c r="BP176" s="656"/>
    </row>
    <row r="177" spans="12:68">
      <c r="L177" s="658"/>
      <c r="M177" s="673"/>
      <c r="N177" s="673"/>
      <c r="O177" s="658"/>
      <c r="P177" s="658"/>
      <c r="Q177" s="658"/>
      <c r="R177" s="658"/>
      <c r="S177" s="658"/>
      <c r="T177" s="658"/>
      <c r="U177" s="658"/>
      <c r="V177" s="659"/>
      <c r="W177" s="659"/>
      <c r="X177" s="658"/>
      <c r="Y177" s="658"/>
      <c r="Z177" s="658"/>
      <c r="AA177" s="658"/>
      <c r="AB177" s="659"/>
      <c r="AC177" s="659"/>
      <c r="AD177" s="658"/>
      <c r="AE177" s="658"/>
      <c r="AF177" s="658"/>
      <c r="AG177" s="658"/>
      <c r="AH177" s="658"/>
      <c r="AI177" s="656"/>
      <c r="AJ177" s="656"/>
      <c r="AK177" s="656"/>
      <c r="AL177" s="656"/>
      <c r="AM177" s="656"/>
      <c r="AN177" s="656"/>
      <c r="AO177" s="656"/>
      <c r="AP177" s="656"/>
      <c r="AQ177" s="656"/>
      <c r="AR177" s="656"/>
      <c r="AS177" s="656"/>
      <c r="AT177" s="656"/>
      <c r="AU177" s="656"/>
      <c r="AV177" s="656"/>
      <c r="AW177" s="656"/>
      <c r="AX177" s="656"/>
      <c r="AY177" s="656"/>
      <c r="AZ177" s="656"/>
      <c r="BA177" s="656"/>
      <c r="BB177" s="656"/>
      <c r="BC177" s="656"/>
      <c r="BD177" s="656"/>
      <c r="BE177" s="656"/>
      <c r="BF177" s="656"/>
      <c r="BG177" s="656"/>
      <c r="BH177" s="656"/>
      <c r="BI177" s="656"/>
      <c r="BJ177" s="656"/>
      <c r="BK177" s="656"/>
      <c r="BL177" s="656"/>
      <c r="BM177" s="656"/>
      <c r="BN177" s="656"/>
      <c r="BO177" s="656"/>
      <c r="BP177" s="656"/>
    </row>
    <row r="178" spans="12:68">
      <c r="L178" s="658"/>
      <c r="M178" s="673"/>
      <c r="N178" s="673"/>
      <c r="O178" s="658"/>
      <c r="P178" s="658"/>
      <c r="Q178" s="658"/>
      <c r="R178" s="658"/>
      <c r="S178" s="658"/>
      <c r="T178" s="658"/>
      <c r="U178" s="658"/>
      <c r="V178" s="659"/>
      <c r="W178" s="659"/>
      <c r="X178" s="658"/>
      <c r="Y178" s="658"/>
      <c r="Z178" s="658"/>
      <c r="AA178" s="658"/>
      <c r="AB178" s="659"/>
      <c r="AC178" s="659"/>
      <c r="AD178" s="658"/>
      <c r="AE178" s="658"/>
      <c r="AF178" s="658"/>
      <c r="AG178" s="658"/>
      <c r="AH178" s="658"/>
      <c r="AI178" s="656"/>
      <c r="AJ178" s="656"/>
      <c r="AK178" s="656"/>
      <c r="AL178" s="656"/>
      <c r="AM178" s="656"/>
      <c r="AN178" s="656"/>
      <c r="AO178" s="656"/>
      <c r="AP178" s="656"/>
      <c r="AQ178" s="656"/>
      <c r="AR178" s="656"/>
      <c r="AS178" s="656"/>
      <c r="AT178" s="656"/>
      <c r="AU178" s="656"/>
      <c r="AV178" s="656"/>
      <c r="AW178" s="656"/>
      <c r="AX178" s="656"/>
      <c r="AY178" s="656"/>
      <c r="AZ178" s="656"/>
      <c r="BA178" s="656"/>
      <c r="BB178" s="656"/>
      <c r="BC178" s="656"/>
      <c r="BD178" s="656"/>
      <c r="BE178" s="656"/>
      <c r="BF178" s="656"/>
      <c r="BG178" s="656"/>
      <c r="BH178" s="656"/>
      <c r="BI178" s="656"/>
      <c r="BJ178" s="656"/>
      <c r="BK178" s="656"/>
      <c r="BL178" s="656"/>
      <c r="BM178" s="656"/>
      <c r="BN178" s="656"/>
      <c r="BO178" s="656"/>
      <c r="BP178" s="656"/>
    </row>
    <row r="179" spans="12:68">
      <c r="L179" s="658"/>
      <c r="M179" s="673"/>
      <c r="N179" s="673"/>
      <c r="O179" s="658"/>
      <c r="P179" s="658"/>
      <c r="Q179" s="658"/>
      <c r="R179" s="658"/>
      <c r="S179" s="658"/>
      <c r="T179" s="658"/>
      <c r="U179" s="658"/>
      <c r="V179" s="659"/>
      <c r="W179" s="659"/>
      <c r="X179" s="658"/>
      <c r="Y179" s="658"/>
      <c r="Z179" s="658"/>
      <c r="AA179" s="658"/>
      <c r="AB179" s="659"/>
      <c r="AC179" s="659"/>
      <c r="AD179" s="658"/>
      <c r="AE179" s="658"/>
      <c r="AF179" s="658"/>
      <c r="AG179" s="658"/>
      <c r="AH179" s="658"/>
      <c r="AI179" s="656"/>
      <c r="AJ179" s="656"/>
      <c r="AK179" s="656"/>
      <c r="AL179" s="656"/>
      <c r="AM179" s="656"/>
      <c r="AN179" s="656"/>
      <c r="AO179" s="656"/>
      <c r="AP179" s="656"/>
      <c r="AQ179" s="656"/>
      <c r="AR179" s="656"/>
      <c r="AS179" s="656"/>
      <c r="AT179" s="656"/>
      <c r="AU179" s="656"/>
      <c r="AV179" s="656"/>
      <c r="AW179" s="656"/>
      <c r="AX179" s="656"/>
      <c r="AY179" s="656"/>
      <c r="AZ179" s="656"/>
      <c r="BA179" s="656"/>
      <c r="BB179" s="656"/>
      <c r="BC179" s="656"/>
      <c r="BD179" s="656"/>
      <c r="BE179" s="656"/>
      <c r="BF179" s="656"/>
      <c r="BG179" s="656"/>
      <c r="BH179" s="656"/>
      <c r="BI179" s="656"/>
      <c r="BJ179" s="656"/>
      <c r="BK179" s="656"/>
      <c r="BL179" s="656"/>
      <c r="BM179" s="656"/>
      <c r="BN179" s="656"/>
      <c r="BO179" s="656"/>
      <c r="BP179" s="656"/>
    </row>
    <row r="180" spans="12:68">
      <c r="L180" s="658"/>
      <c r="M180" s="673"/>
      <c r="N180" s="673"/>
      <c r="O180" s="658"/>
      <c r="P180" s="658"/>
      <c r="Q180" s="658"/>
      <c r="R180" s="658"/>
      <c r="S180" s="658"/>
      <c r="T180" s="658"/>
      <c r="U180" s="658"/>
      <c r="V180" s="659"/>
      <c r="W180" s="659"/>
      <c r="X180" s="658"/>
      <c r="Y180" s="658"/>
      <c r="Z180" s="658"/>
      <c r="AA180" s="658"/>
      <c r="AB180" s="659"/>
      <c r="AC180" s="659"/>
      <c r="AD180" s="658"/>
      <c r="AE180" s="658"/>
      <c r="AF180" s="658"/>
      <c r="AG180" s="658"/>
      <c r="AH180" s="658"/>
      <c r="AI180" s="656"/>
      <c r="AJ180" s="656"/>
      <c r="AK180" s="656"/>
      <c r="AL180" s="656"/>
      <c r="AM180" s="656"/>
      <c r="AN180" s="656"/>
      <c r="AO180" s="656"/>
      <c r="AP180" s="656"/>
      <c r="AQ180" s="656"/>
      <c r="AR180" s="656"/>
      <c r="AS180" s="656"/>
      <c r="AT180" s="656"/>
      <c r="AU180" s="656"/>
      <c r="AV180" s="656"/>
      <c r="AW180" s="656"/>
      <c r="AX180" s="656"/>
      <c r="AY180" s="656"/>
      <c r="AZ180" s="656"/>
      <c r="BA180" s="656"/>
      <c r="BB180" s="656"/>
      <c r="BC180" s="656"/>
      <c r="BD180" s="656"/>
      <c r="BE180" s="656"/>
      <c r="BF180" s="656"/>
      <c r="BG180" s="656"/>
      <c r="BH180" s="656"/>
      <c r="BI180" s="656"/>
      <c r="BJ180" s="656"/>
      <c r="BK180" s="656"/>
      <c r="BL180" s="656"/>
      <c r="BM180" s="656"/>
      <c r="BN180" s="656"/>
      <c r="BO180" s="656"/>
      <c r="BP180" s="656"/>
    </row>
    <row r="181" spans="12:68">
      <c r="L181" s="658"/>
      <c r="M181" s="673"/>
      <c r="N181" s="673"/>
      <c r="O181" s="658"/>
      <c r="P181" s="658"/>
      <c r="Q181" s="658"/>
      <c r="R181" s="658"/>
      <c r="S181" s="658"/>
      <c r="T181" s="658"/>
      <c r="U181" s="658"/>
      <c r="V181" s="659"/>
      <c r="W181" s="659"/>
      <c r="X181" s="658"/>
      <c r="Y181" s="658"/>
      <c r="Z181" s="658"/>
      <c r="AA181" s="658"/>
      <c r="AB181" s="659"/>
      <c r="AC181" s="659"/>
      <c r="AD181" s="658"/>
      <c r="AE181" s="658"/>
      <c r="AF181" s="658"/>
      <c r="AG181" s="658"/>
      <c r="AH181" s="658"/>
      <c r="AI181" s="656"/>
      <c r="AJ181" s="656"/>
      <c r="AK181" s="656"/>
      <c r="AL181" s="656"/>
      <c r="AM181" s="656"/>
      <c r="AN181" s="656"/>
      <c r="AO181" s="656"/>
      <c r="AP181" s="656"/>
      <c r="AQ181" s="656"/>
      <c r="AR181" s="656"/>
      <c r="AS181" s="656"/>
      <c r="AT181" s="656"/>
      <c r="AU181" s="656"/>
      <c r="AV181" s="656"/>
      <c r="AW181" s="656"/>
      <c r="AX181" s="656"/>
      <c r="AY181" s="656"/>
      <c r="AZ181" s="656"/>
      <c r="BA181" s="656"/>
      <c r="BB181" s="656"/>
      <c r="BC181" s="656"/>
      <c r="BD181" s="656"/>
      <c r="BE181" s="656"/>
      <c r="BF181" s="656"/>
      <c r="BG181" s="656"/>
      <c r="BH181" s="656"/>
      <c r="BI181" s="656"/>
      <c r="BJ181" s="656"/>
      <c r="BK181" s="656"/>
      <c r="BL181" s="656"/>
      <c r="BM181" s="656"/>
      <c r="BN181" s="656"/>
      <c r="BO181" s="656"/>
      <c r="BP181" s="656"/>
    </row>
    <row r="182" spans="12:68">
      <c r="L182" s="658"/>
      <c r="M182" s="673"/>
      <c r="N182" s="673"/>
      <c r="O182" s="658"/>
      <c r="P182" s="658"/>
      <c r="Q182" s="658"/>
      <c r="R182" s="658"/>
      <c r="S182" s="658"/>
      <c r="T182" s="658"/>
      <c r="U182" s="658"/>
      <c r="V182" s="659"/>
      <c r="W182" s="659"/>
      <c r="X182" s="658"/>
      <c r="Y182" s="658"/>
      <c r="Z182" s="658"/>
      <c r="AA182" s="658"/>
      <c r="AB182" s="659"/>
      <c r="AC182" s="659"/>
      <c r="AD182" s="658"/>
      <c r="AE182" s="658"/>
      <c r="AF182" s="658"/>
      <c r="AG182" s="658"/>
      <c r="AH182" s="658"/>
      <c r="AI182" s="656"/>
      <c r="AJ182" s="656"/>
      <c r="AK182" s="656"/>
      <c r="AL182" s="656"/>
      <c r="AM182" s="656"/>
      <c r="AN182" s="656"/>
      <c r="AO182" s="656"/>
      <c r="AP182" s="656"/>
      <c r="AQ182" s="656"/>
      <c r="AR182" s="656"/>
      <c r="AS182" s="656"/>
      <c r="AT182" s="656"/>
      <c r="AU182" s="656"/>
      <c r="AV182" s="656"/>
      <c r="AW182" s="656"/>
      <c r="AX182" s="656"/>
      <c r="AY182" s="656"/>
      <c r="AZ182" s="656"/>
      <c r="BA182" s="656"/>
      <c r="BB182" s="656"/>
      <c r="BC182" s="656"/>
      <c r="BD182" s="656"/>
      <c r="BE182" s="656"/>
      <c r="BF182" s="656"/>
      <c r="BG182" s="656"/>
      <c r="BH182" s="656"/>
      <c r="BI182" s="656"/>
      <c r="BJ182" s="656"/>
      <c r="BK182" s="656"/>
      <c r="BL182" s="656"/>
      <c r="BM182" s="656"/>
      <c r="BN182" s="656"/>
      <c r="BO182" s="656"/>
      <c r="BP182" s="656"/>
    </row>
    <row r="183" spans="12:68">
      <c r="L183" s="658"/>
      <c r="M183" s="658"/>
      <c r="N183" s="658"/>
      <c r="O183" s="658"/>
      <c r="P183" s="658"/>
      <c r="Q183" s="658"/>
      <c r="R183" s="658"/>
      <c r="S183" s="658"/>
      <c r="T183" s="658"/>
      <c r="U183" s="658"/>
      <c r="V183" s="659"/>
      <c r="W183" s="659"/>
      <c r="X183" s="658"/>
      <c r="Y183" s="658"/>
      <c r="Z183" s="658"/>
      <c r="AA183" s="658"/>
      <c r="AB183" s="659"/>
      <c r="AC183" s="659"/>
      <c r="AD183" s="658"/>
      <c r="AE183" s="658"/>
      <c r="AF183" s="658"/>
      <c r="AG183" s="658"/>
      <c r="AH183" s="658"/>
      <c r="AI183" s="656"/>
      <c r="AJ183" s="656"/>
      <c r="AK183" s="656"/>
      <c r="AL183" s="656"/>
      <c r="AM183" s="656"/>
      <c r="AN183" s="656"/>
      <c r="AO183" s="656"/>
      <c r="AP183" s="656"/>
      <c r="AQ183" s="656"/>
      <c r="AR183" s="656"/>
      <c r="AS183" s="656"/>
      <c r="AT183" s="656"/>
      <c r="AU183" s="656"/>
      <c r="AV183" s="656"/>
      <c r="AW183" s="656"/>
      <c r="AX183" s="656"/>
      <c r="AY183" s="656"/>
      <c r="AZ183" s="656"/>
      <c r="BA183" s="656"/>
      <c r="BB183" s="656"/>
      <c r="BC183" s="656"/>
      <c r="BD183" s="656"/>
      <c r="BE183" s="656"/>
      <c r="BF183" s="656"/>
      <c r="BG183" s="656"/>
      <c r="BH183" s="656"/>
      <c r="BI183" s="656"/>
      <c r="BJ183" s="656"/>
      <c r="BK183" s="656"/>
      <c r="BL183" s="656"/>
      <c r="BM183" s="656"/>
      <c r="BN183" s="656"/>
      <c r="BO183" s="656"/>
      <c r="BP183" s="656"/>
    </row>
    <row r="184" spans="12:68">
      <c r="L184" s="658"/>
      <c r="M184" s="658"/>
      <c r="N184" s="658"/>
      <c r="O184" s="658"/>
      <c r="P184" s="658"/>
      <c r="Q184" s="658"/>
      <c r="R184" s="658"/>
      <c r="S184" s="658"/>
      <c r="T184" s="658"/>
      <c r="U184" s="658"/>
      <c r="V184" s="659"/>
      <c r="W184" s="659"/>
      <c r="X184" s="658"/>
      <c r="Y184" s="658"/>
      <c r="Z184" s="658"/>
      <c r="AA184" s="658"/>
      <c r="AB184" s="659"/>
      <c r="AC184" s="659"/>
      <c r="AD184" s="658"/>
      <c r="AE184" s="658"/>
      <c r="AF184" s="658"/>
      <c r="AG184" s="658"/>
      <c r="AH184" s="658"/>
      <c r="AI184" s="656"/>
      <c r="AJ184" s="656"/>
      <c r="AK184" s="656"/>
      <c r="AL184" s="656"/>
      <c r="AM184" s="656"/>
      <c r="AN184" s="656"/>
      <c r="AO184" s="656"/>
      <c r="AP184" s="656"/>
      <c r="AQ184" s="656"/>
      <c r="AR184" s="656"/>
      <c r="AS184" s="656"/>
      <c r="AT184" s="656"/>
      <c r="AU184" s="656"/>
      <c r="AV184" s="656"/>
      <c r="AW184" s="656"/>
      <c r="AX184" s="656"/>
      <c r="AY184" s="656"/>
      <c r="AZ184" s="656"/>
      <c r="BA184" s="656"/>
      <c r="BB184" s="656"/>
      <c r="BC184" s="656"/>
      <c r="BD184" s="656"/>
      <c r="BE184" s="656"/>
      <c r="BF184" s="656"/>
      <c r="BG184" s="656"/>
      <c r="BH184" s="656"/>
      <c r="BI184" s="656"/>
      <c r="BJ184" s="656"/>
      <c r="BK184" s="656"/>
      <c r="BL184" s="656"/>
      <c r="BM184" s="656"/>
      <c r="BN184" s="656"/>
      <c r="BO184" s="656"/>
      <c r="BP184" s="656"/>
    </row>
    <row r="185" spans="12:68">
      <c r="L185" s="658"/>
      <c r="M185" s="658"/>
      <c r="N185" s="658"/>
      <c r="O185" s="658"/>
      <c r="P185" s="658"/>
      <c r="Q185" s="658"/>
      <c r="R185" s="658"/>
      <c r="S185" s="658"/>
      <c r="T185" s="658"/>
      <c r="U185" s="658"/>
      <c r="V185" s="659"/>
      <c r="W185" s="659"/>
      <c r="X185" s="658"/>
      <c r="Y185" s="658"/>
      <c r="Z185" s="658"/>
      <c r="AA185" s="658"/>
      <c r="AB185" s="659"/>
      <c r="AC185" s="659"/>
      <c r="AD185" s="658"/>
      <c r="AE185" s="658"/>
      <c r="AF185" s="658"/>
      <c r="AG185" s="658"/>
      <c r="AH185" s="658"/>
      <c r="AI185" s="656"/>
      <c r="AJ185" s="656"/>
      <c r="AK185" s="656"/>
      <c r="AL185" s="656"/>
      <c r="AM185" s="656"/>
      <c r="AN185" s="656"/>
      <c r="AO185" s="656"/>
      <c r="AP185" s="656"/>
      <c r="AQ185" s="656"/>
      <c r="AR185" s="656"/>
      <c r="AS185" s="656"/>
      <c r="AT185" s="656"/>
      <c r="AU185" s="656"/>
      <c r="AV185" s="656"/>
      <c r="AW185" s="656"/>
      <c r="AX185" s="656"/>
      <c r="AY185" s="656"/>
      <c r="AZ185" s="656"/>
      <c r="BA185" s="656"/>
      <c r="BB185" s="656"/>
      <c r="BC185" s="656"/>
      <c r="BD185" s="656"/>
      <c r="BE185" s="656"/>
      <c r="BF185" s="656"/>
      <c r="BG185" s="656"/>
      <c r="BH185" s="656"/>
      <c r="BI185" s="656"/>
      <c r="BJ185" s="656"/>
      <c r="BK185" s="656"/>
      <c r="BL185" s="656"/>
      <c r="BM185" s="656"/>
      <c r="BN185" s="656"/>
      <c r="BO185" s="656"/>
      <c r="BP185" s="656"/>
    </row>
    <row r="186" spans="12:68">
      <c r="L186" s="658"/>
      <c r="M186" s="658"/>
      <c r="N186" s="658"/>
      <c r="O186" s="658"/>
      <c r="P186" s="658"/>
      <c r="Q186" s="658"/>
      <c r="R186" s="658"/>
      <c r="S186" s="658"/>
      <c r="T186" s="658"/>
      <c r="U186" s="658"/>
      <c r="V186" s="659"/>
      <c r="W186" s="659"/>
      <c r="X186" s="658"/>
      <c r="Y186" s="658"/>
      <c r="Z186" s="658"/>
      <c r="AA186" s="658"/>
      <c r="AB186" s="659"/>
      <c r="AC186" s="659"/>
      <c r="AD186" s="658"/>
      <c r="AE186" s="658"/>
      <c r="AF186" s="658"/>
      <c r="AG186" s="658"/>
      <c r="AH186" s="658"/>
      <c r="AI186" s="656"/>
      <c r="AJ186" s="656"/>
      <c r="AK186" s="656"/>
      <c r="AL186" s="656"/>
      <c r="AM186" s="656"/>
      <c r="AN186" s="656"/>
      <c r="AO186" s="656"/>
      <c r="AP186" s="656"/>
      <c r="AQ186" s="656"/>
      <c r="AR186" s="656"/>
      <c r="AS186" s="656"/>
      <c r="AT186" s="656"/>
      <c r="AU186" s="656"/>
      <c r="AV186" s="656"/>
      <c r="AW186" s="656"/>
      <c r="AX186" s="656"/>
      <c r="AY186" s="656"/>
      <c r="AZ186" s="656"/>
      <c r="BA186" s="656"/>
      <c r="BB186" s="656"/>
      <c r="BC186" s="656"/>
      <c r="BD186" s="656"/>
      <c r="BE186" s="656"/>
      <c r="BF186" s="656"/>
      <c r="BG186" s="656"/>
      <c r="BH186" s="656"/>
      <c r="BI186" s="656"/>
      <c r="BJ186" s="656"/>
      <c r="BK186" s="656"/>
      <c r="BL186" s="656"/>
      <c r="BM186" s="656"/>
      <c r="BN186" s="656"/>
      <c r="BO186" s="656"/>
      <c r="BP186" s="656"/>
    </row>
    <row r="187" spans="12:68">
      <c r="L187" s="658"/>
      <c r="M187" s="658"/>
      <c r="N187" s="658"/>
      <c r="O187" s="658"/>
      <c r="P187" s="658"/>
      <c r="Q187" s="658"/>
      <c r="R187" s="658"/>
      <c r="S187" s="658"/>
      <c r="T187" s="658"/>
      <c r="U187" s="658"/>
      <c r="V187" s="659"/>
      <c r="W187" s="659"/>
      <c r="X187" s="658"/>
      <c r="Y187" s="658"/>
      <c r="Z187" s="658"/>
      <c r="AA187" s="658"/>
      <c r="AB187" s="659"/>
      <c r="AC187" s="659"/>
      <c r="AD187" s="658"/>
      <c r="AE187" s="658"/>
      <c r="AF187" s="658"/>
      <c r="AG187" s="658"/>
      <c r="AH187" s="658"/>
      <c r="AI187" s="656"/>
      <c r="AJ187" s="656"/>
      <c r="AK187" s="656"/>
      <c r="AL187" s="656"/>
      <c r="AM187" s="656"/>
      <c r="AN187" s="656"/>
      <c r="AO187" s="656"/>
      <c r="AP187" s="656"/>
      <c r="AQ187" s="656"/>
      <c r="AR187" s="656"/>
      <c r="AS187" s="656"/>
      <c r="AT187" s="656"/>
      <c r="AU187" s="656"/>
      <c r="AV187" s="656"/>
      <c r="AW187" s="656"/>
      <c r="AX187" s="656"/>
      <c r="AY187" s="656"/>
      <c r="AZ187" s="656"/>
      <c r="BA187" s="656"/>
      <c r="BB187" s="656"/>
      <c r="BC187" s="656"/>
      <c r="BD187" s="656"/>
      <c r="BE187" s="656"/>
      <c r="BF187" s="656"/>
      <c r="BG187" s="656"/>
      <c r="BH187" s="656"/>
      <c r="BI187" s="656"/>
      <c r="BJ187" s="656"/>
      <c r="BK187" s="656"/>
      <c r="BL187" s="656"/>
      <c r="BM187" s="656"/>
      <c r="BN187" s="656"/>
      <c r="BO187" s="656"/>
      <c r="BP187" s="656"/>
    </row>
    <row r="188" spans="12:68">
      <c r="L188" s="658"/>
      <c r="M188" s="658"/>
      <c r="N188" s="658"/>
      <c r="O188" s="658"/>
      <c r="P188" s="658"/>
      <c r="Q188" s="658"/>
      <c r="R188" s="658"/>
      <c r="S188" s="658"/>
      <c r="T188" s="658"/>
      <c r="U188" s="658"/>
      <c r="V188" s="659"/>
      <c r="W188" s="659"/>
      <c r="X188" s="658"/>
      <c r="Y188" s="658"/>
      <c r="Z188" s="658"/>
      <c r="AA188" s="658"/>
      <c r="AB188" s="659"/>
      <c r="AC188" s="659"/>
      <c r="AD188" s="658"/>
      <c r="AE188" s="658"/>
      <c r="AF188" s="658"/>
      <c r="AG188" s="658"/>
      <c r="AH188" s="658"/>
      <c r="AI188" s="656"/>
      <c r="AJ188" s="656"/>
      <c r="AK188" s="656"/>
      <c r="AL188" s="656"/>
      <c r="AM188" s="656"/>
      <c r="AN188" s="656"/>
      <c r="AO188" s="656"/>
      <c r="AP188" s="656"/>
      <c r="AQ188" s="656"/>
      <c r="AR188" s="656"/>
      <c r="AS188" s="656"/>
      <c r="AT188" s="656"/>
      <c r="AU188" s="656"/>
      <c r="AV188" s="656"/>
      <c r="AW188" s="656"/>
      <c r="AX188" s="656"/>
      <c r="AY188" s="656"/>
      <c r="AZ188" s="656"/>
      <c r="BA188" s="656"/>
      <c r="BB188" s="656"/>
      <c r="BC188" s="656"/>
      <c r="BD188" s="656"/>
      <c r="BE188" s="656"/>
      <c r="BF188" s="656"/>
      <c r="BG188" s="656"/>
      <c r="BH188" s="656"/>
      <c r="BI188" s="656"/>
      <c r="BJ188" s="656"/>
      <c r="BK188" s="656"/>
      <c r="BL188" s="656"/>
      <c r="BM188" s="656"/>
      <c r="BN188" s="656"/>
      <c r="BO188" s="656"/>
      <c r="BP188" s="656"/>
    </row>
    <row r="189" spans="12:68">
      <c r="L189" s="658"/>
      <c r="M189" s="658"/>
      <c r="N189" s="658"/>
      <c r="O189" s="658"/>
      <c r="P189" s="658"/>
      <c r="Q189" s="658"/>
      <c r="R189" s="658"/>
      <c r="S189" s="658"/>
      <c r="T189" s="658"/>
      <c r="U189" s="658"/>
      <c r="V189" s="659"/>
      <c r="W189" s="659"/>
      <c r="X189" s="658"/>
      <c r="Y189" s="658"/>
      <c r="Z189" s="658"/>
      <c r="AA189" s="658"/>
      <c r="AB189" s="659"/>
      <c r="AC189" s="659"/>
      <c r="AD189" s="658"/>
      <c r="AE189" s="658"/>
      <c r="AF189" s="658"/>
      <c r="AG189" s="658"/>
      <c r="AH189" s="658"/>
      <c r="AI189" s="656"/>
      <c r="AJ189" s="656"/>
      <c r="AK189" s="656"/>
      <c r="AL189" s="656"/>
      <c r="AM189" s="656"/>
      <c r="AN189" s="656"/>
      <c r="AO189" s="656"/>
      <c r="AP189" s="656"/>
      <c r="AQ189" s="656"/>
      <c r="AR189" s="656"/>
      <c r="AS189" s="656"/>
      <c r="AT189" s="656"/>
      <c r="AU189" s="656"/>
      <c r="AV189" s="656"/>
      <c r="AW189" s="656"/>
      <c r="AX189" s="656"/>
      <c r="AY189" s="656"/>
      <c r="AZ189" s="656"/>
      <c r="BA189" s="656"/>
      <c r="BB189" s="656"/>
      <c r="BC189" s="656"/>
      <c r="BD189" s="656"/>
      <c r="BE189" s="656"/>
      <c r="BF189" s="656"/>
      <c r="BG189" s="656"/>
      <c r="BH189" s="656"/>
      <c r="BI189" s="656"/>
      <c r="BJ189" s="656"/>
      <c r="BK189" s="656"/>
      <c r="BL189" s="656"/>
      <c r="BM189" s="656"/>
      <c r="BN189" s="656"/>
      <c r="BO189" s="656"/>
      <c r="BP189" s="656"/>
    </row>
    <row r="190" spans="12:68">
      <c r="L190" s="658"/>
      <c r="M190" s="658"/>
      <c r="N190" s="658"/>
      <c r="O190" s="658"/>
      <c r="P190" s="658"/>
      <c r="Q190" s="658"/>
      <c r="R190" s="658"/>
      <c r="S190" s="658"/>
      <c r="T190" s="658"/>
      <c r="U190" s="658"/>
      <c r="V190" s="659"/>
      <c r="W190" s="659"/>
      <c r="X190" s="658"/>
      <c r="Y190" s="658"/>
      <c r="Z190" s="658"/>
      <c r="AA190" s="658"/>
      <c r="AB190" s="659"/>
      <c r="AC190" s="659"/>
      <c r="AD190" s="658"/>
      <c r="AE190" s="658"/>
      <c r="AF190" s="658"/>
      <c r="AG190" s="658"/>
      <c r="AH190" s="658"/>
      <c r="AI190" s="656"/>
      <c r="AJ190" s="656"/>
      <c r="AK190" s="656"/>
      <c r="AL190" s="656"/>
      <c r="AM190" s="656"/>
      <c r="AN190" s="656"/>
      <c r="AO190" s="656"/>
      <c r="AP190" s="656"/>
      <c r="AQ190" s="656"/>
      <c r="AR190" s="656"/>
      <c r="AS190" s="656"/>
      <c r="AT190" s="656"/>
      <c r="AU190" s="656"/>
      <c r="AV190" s="656"/>
      <c r="AW190" s="656"/>
      <c r="AX190" s="656"/>
      <c r="AY190" s="656"/>
      <c r="AZ190" s="656"/>
      <c r="BA190" s="656"/>
      <c r="BB190" s="656"/>
      <c r="BC190" s="656"/>
      <c r="BD190" s="656"/>
      <c r="BE190" s="656"/>
      <c r="BF190" s="656"/>
      <c r="BG190" s="656"/>
      <c r="BH190" s="656"/>
      <c r="BI190" s="656"/>
      <c r="BJ190" s="656"/>
      <c r="BK190" s="656"/>
      <c r="BL190" s="656"/>
      <c r="BM190" s="656"/>
      <c r="BN190" s="656"/>
      <c r="BO190" s="656"/>
      <c r="BP190" s="656"/>
    </row>
    <row r="191" spans="12:68">
      <c r="L191" s="658"/>
      <c r="M191" s="658"/>
      <c r="N191" s="658"/>
      <c r="O191" s="658"/>
      <c r="P191" s="658"/>
      <c r="Q191" s="658"/>
      <c r="R191" s="658"/>
      <c r="S191" s="658"/>
      <c r="T191" s="658"/>
      <c r="U191" s="658"/>
      <c r="V191" s="659"/>
      <c r="W191" s="659"/>
      <c r="X191" s="658"/>
      <c r="Y191" s="658"/>
      <c r="Z191" s="658"/>
      <c r="AA191" s="658"/>
      <c r="AB191" s="659"/>
      <c r="AC191" s="659"/>
      <c r="AD191" s="658"/>
      <c r="AE191" s="658"/>
      <c r="AF191" s="658"/>
      <c r="AG191" s="658"/>
      <c r="AH191" s="658"/>
      <c r="AI191" s="656"/>
      <c r="AJ191" s="656"/>
      <c r="AK191" s="656"/>
      <c r="AL191" s="656"/>
      <c r="AM191" s="656"/>
      <c r="AN191" s="656"/>
      <c r="AO191" s="656"/>
      <c r="AP191" s="656"/>
      <c r="AQ191" s="656"/>
      <c r="AR191" s="656"/>
      <c r="AS191" s="656"/>
      <c r="AT191" s="656"/>
      <c r="AU191" s="656"/>
      <c r="AV191" s="656"/>
      <c r="AW191" s="656"/>
      <c r="AX191" s="656"/>
      <c r="AY191" s="656"/>
      <c r="AZ191" s="656"/>
      <c r="BA191" s="656"/>
      <c r="BB191" s="656"/>
      <c r="BC191" s="656"/>
      <c r="BD191" s="656"/>
      <c r="BE191" s="656"/>
      <c r="BF191" s="656"/>
      <c r="BG191" s="656"/>
      <c r="BH191" s="656"/>
      <c r="BI191" s="656"/>
      <c r="BJ191" s="656"/>
      <c r="BK191" s="656"/>
      <c r="BL191" s="656"/>
      <c r="BM191" s="656"/>
      <c r="BN191" s="656"/>
      <c r="BO191" s="656"/>
      <c r="BP191" s="656"/>
    </row>
    <row r="192" spans="12:68">
      <c r="L192" s="658"/>
      <c r="M192" s="658"/>
      <c r="N192" s="658"/>
      <c r="O192" s="658"/>
      <c r="P192" s="658"/>
      <c r="Q192" s="658"/>
      <c r="R192" s="658"/>
      <c r="S192" s="658"/>
      <c r="T192" s="658"/>
      <c r="U192" s="658"/>
      <c r="V192" s="659"/>
      <c r="W192" s="659"/>
      <c r="X192" s="658"/>
      <c r="Y192" s="658"/>
      <c r="Z192" s="658"/>
      <c r="AA192" s="658"/>
      <c r="AB192" s="659"/>
      <c r="AC192" s="659"/>
      <c r="AD192" s="658"/>
      <c r="AE192" s="658"/>
      <c r="AF192" s="658"/>
      <c r="AG192" s="658"/>
      <c r="AH192" s="658"/>
      <c r="AI192" s="656"/>
      <c r="AJ192" s="656"/>
      <c r="AK192" s="656"/>
      <c r="AL192" s="656"/>
      <c r="AM192" s="656"/>
      <c r="AN192" s="656"/>
      <c r="AO192" s="656"/>
      <c r="AP192" s="656"/>
      <c r="AQ192" s="656"/>
      <c r="AR192" s="656"/>
      <c r="AS192" s="656"/>
      <c r="AT192" s="656"/>
      <c r="AU192" s="656"/>
      <c r="AV192" s="656"/>
      <c r="AW192" s="656"/>
      <c r="AX192" s="656"/>
      <c r="AY192" s="656"/>
      <c r="AZ192" s="656"/>
      <c r="BA192" s="656"/>
      <c r="BB192" s="656"/>
      <c r="BC192" s="656"/>
      <c r="BD192" s="656"/>
      <c r="BE192" s="656"/>
      <c r="BF192" s="656"/>
      <c r="BG192" s="656"/>
      <c r="BH192" s="656"/>
      <c r="BI192" s="656"/>
      <c r="BJ192" s="656"/>
      <c r="BK192" s="656"/>
      <c r="BL192" s="656"/>
      <c r="BM192" s="656"/>
      <c r="BN192" s="656"/>
      <c r="BO192" s="656"/>
      <c r="BP192" s="656"/>
    </row>
    <row r="198" spans="14:14">
      <c r="N198" s="66">
        <v>2</v>
      </c>
    </row>
  </sheetData>
  <sheetProtection algorithmName="SHA-512" hashValue="TmOnYQqeIU+gCD0FJ2F/8SG4qHVslODrjlTDMFcXB5+gRoAY6C6w72wiwtaMiUvEPE9MJkkKfS20jtYMHEdTWA==" saltValue="igtShLKnq6q0FYQxKwHB0w==" spinCount="100000" sheet="1" objects="1" scenarios="1"/>
  <customSheetViews>
    <customSheetView guid="{39DD0EDE-63E7-470F-AA9E-0FA02F254C3F}" scale="85">
      <selection activeCell="O41" sqref="O41"/>
      <pageMargins left="0.7" right="0.7" top="0.78740157499999996" bottom="0.78740157499999996" header="0.3" footer="0.3"/>
      <pageSetup paperSize="9" orientation="portrait" r:id="rId1"/>
    </customSheetView>
  </customSheetViews>
  <mergeCells count="61">
    <mergeCell ref="B51:C52"/>
    <mergeCell ref="B39:C40"/>
    <mergeCell ref="I2:K2"/>
    <mergeCell ref="B2:H2"/>
    <mergeCell ref="C3:E3"/>
    <mergeCell ref="B5:E5"/>
    <mergeCell ref="C13:E13"/>
    <mergeCell ref="C6:E6"/>
    <mergeCell ref="C12:E12"/>
    <mergeCell ref="F7:K7"/>
    <mergeCell ref="C4:E4"/>
    <mergeCell ref="F8:K8"/>
    <mergeCell ref="F6:K6"/>
    <mergeCell ref="F4:K4"/>
    <mergeCell ref="D14:E14"/>
    <mergeCell ref="B1:K1"/>
    <mergeCell ref="D44:G44"/>
    <mergeCell ref="B11:E11"/>
    <mergeCell ref="B23:E23"/>
    <mergeCell ref="B28:E28"/>
    <mergeCell ref="H44:K44"/>
    <mergeCell ref="B37:K37"/>
    <mergeCell ref="D39:E39"/>
    <mergeCell ref="F39:G39"/>
    <mergeCell ref="J39:K39"/>
    <mergeCell ref="F3:K3"/>
    <mergeCell ref="G5:J5"/>
    <mergeCell ref="C24:E24"/>
    <mergeCell ref="C15:E15"/>
    <mergeCell ref="F33:K33"/>
    <mergeCell ref="D40:G40"/>
    <mergeCell ref="O18:P18"/>
    <mergeCell ref="F29:K29"/>
    <mergeCell ref="F28:I28"/>
    <mergeCell ref="B31:E31"/>
    <mergeCell ref="B32:E32"/>
    <mergeCell ref="G26:K26"/>
    <mergeCell ref="O105:O110"/>
    <mergeCell ref="F30:K30"/>
    <mergeCell ref="F31:K31"/>
    <mergeCell ref="B50:K50"/>
    <mergeCell ref="C33:E33"/>
    <mergeCell ref="B44:C44"/>
    <mergeCell ref="B56:C56"/>
    <mergeCell ref="D56:G56"/>
    <mergeCell ref="H56:K56"/>
    <mergeCell ref="H40:K40"/>
    <mergeCell ref="B38:K38"/>
    <mergeCell ref="H39:I39"/>
    <mergeCell ref="D52:G52"/>
    <mergeCell ref="H52:K52"/>
    <mergeCell ref="D51:E51"/>
    <mergeCell ref="F51:G51"/>
    <mergeCell ref="Q87:R87"/>
    <mergeCell ref="D65:G65"/>
    <mergeCell ref="H65:K65"/>
    <mergeCell ref="Q75:R75"/>
    <mergeCell ref="F32:I32"/>
    <mergeCell ref="J51:K51"/>
    <mergeCell ref="Q80:R80"/>
    <mergeCell ref="H51:I51"/>
  </mergeCells>
  <phoneticPr fontId="58" type="noConversion"/>
  <conditionalFormatting sqref="H41:K43">
    <cfRule type="expression" dxfId="114" priority="90" stopIfTrue="1">
      <formula>$G$5="Einreihige Dübelanordnung"</formula>
    </cfRule>
  </conditionalFormatting>
  <conditionalFormatting sqref="F34 F29">
    <cfRule type="cellIs" dxfId="113" priority="91" stopIfTrue="1" operator="equal">
      <formula>"Verankerung Mittelbereich zulässig"</formula>
    </cfRule>
    <cfRule type="cellIs" dxfId="112" priority="92" stopIfTrue="1" operator="equal">
      <formula>"Verankerung Mittelbereich nicht zulässig"</formula>
    </cfRule>
  </conditionalFormatting>
  <conditionalFormatting sqref="D49">
    <cfRule type="expression" dxfId="111" priority="85">
      <formula>$D$49&gt;100</formula>
    </cfRule>
  </conditionalFormatting>
  <conditionalFormatting sqref="F49">
    <cfRule type="expression" dxfId="110" priority="84">
      <formula>$F$49&gt;100</formula>
    </cfRule>
  </conditionalFormatting>
  <conditionalFormatting sqref="H61">
    <cfRule type="expression" dxfId="109" priority="83">
      <formula>AND($H$61&gt;100,$G$5="Zweireihige Ankeranordnung")</formula>
    </cfRule>
  </conditionalFormatting>
  <conditionalFormatting sqref="J49">
    <cfRule type="expression" dxfId="108" priority="82">
      <formula>AND($J$49&gt;100,$G$5="Zweireihige Ankeranordnung")</formula>
    </cfRule>
  </conditionalFormatting>
  <conditionalFormatting sqref="H65:K65">
    <cfRule type="expression" dxfId="107" priority="52" stopIfTrue="1">
      <formula>$G$5="Einreihige Dübelanordnung"</formula>
    </cfRule>
  </conditionalFormatting>
  <conditionalFormatting sqref="F33">
    <cfRule type="cellIs" dxfId="106" priority="50" stopIfTrue="1" operator="equal">
      <formula>"Verankerung Randbereich zulässig"</formula>
    </cfRule>
    <cfRule type="cellIs" dxfId="105" priority="51" stopIfTrue="1" operator="equal">
      <formula>"Verankerung Randbereich nicht zulässig"</formula>
    </cfRule>
  </conditionalFormatting>
  <conditionalFormatting sqref="D46">
    <cfRule type="expression" dxfId="104" priority="124">
      <formula>$D$46&lt;$D$41</formula>
    </cfRule>
  </conditionalFormatting>
  <conditionalFormatting sqref="D45">
    <cfRule type="expression" dxfId="103" priority="125">
      <formula>$D$45&lt;$D$41</formula>
    </cfRule>
  </conditionalFormatting>
  <conditionalFormatting sqref="F45">
    <cfRule type="expression" dxfId="102" priority="126">
      <formula>$F$45&lt;$F$41</formula>
    </cfRule>
  </conditionalFormatting>
  <conditionalFormatting sqref="F46">
    <cfRule type="expression" dxfId="101" priority="127">
      <formula>$F$46&lt;$F$41</formula>
    </cfRule>
  </conditionalFormatting>
  <conditionalFormatting sqref="H45">
    <cfRule type="expression" dxfId="100" priority="128">
      <formula>$H$45&lt;$H$41</formula>
    </cfRule>
  </conditionalFormatting>
  <conditionalFormatting sqref="H46">
    <cfRule type="expression" dxfId="99" priority="129">
      <formula>$H$46&lt;$H$41</formula>
    </cfRule>
  </conditionalFormatting>
  <conditionalFormatting sqref="J45">
    <cfRule type="expression" dxfId="98" priority="130">
      <formula>$J$45&lt;$J$41</formula>
    </cfRule>
  </conditionalFormatting>
  <conditionalFormatting sqref="J46">
    <cfRule type="expression" dxfId="97" priority="131">
      <formula>$J$46&lt;$J$41</formula>
    </cfRule>
  </conditionalFormatting>
  <conditionalFormatting sqref="D47">
    <cfRule type="expression" dxfId="96" priority="132">
      <formula>$D$47&lt;$D$42</formula>
    </cfRule>
  </conditionalFormatting>
  <conditionalFormatting sqref="F47">
    <cfRule type="expression" dxfId="95" priority="133">
      <formula>$F$47&lt;$F$42</formula>
    </cfRule>
  </conditionalFormatting>
  <conditionalFormatting sqref="H47">
    <cfRule type="expression" dxfId="94" priority="134">
      <formula>$H$47&lt;$H$42</formula>
    </cfRule>
  </conditionalFormatting>
  <conditionalFormatting sqref="J47">
    <cfRule type="expression" dxfId="93" priority="135">
      <formula>$J$47&lt;$J$42</formula>
    </cfRule>
  </conditionalFormatting>
  <conditionalFormatting sqref="H53:H54">
    <cfRule type="expression" dxfId="92" priority="36" stopIfTrue="1">
      <formula>$G$5="Einreihige Dübelanordnung"</formula>
    </cfRule>
  </conditionalFormatting>
  <conditionalFormatting sqref="D61">
    <cfRule type="expression" dxfId="91" priority="35">
      <formula>$D$61&gt;100</formula>
    </cfRule>
  </conditionalFormatting>
  <conditionalFormatting sqref="F61">
    <cfRule type="expression" dxfId="90" priority="34">
      <formula>$F$61&gt;100</formula>
    </cfRule>
  </conditionalFormatting>
  <conditionalFormatting sqref="D58">
    <cfRule type="expression" dxfId="89" priority="37">
      <formula>$D$58&lt;$D$53</formula>
    </cfRule>
  </conditionalFormatting>
  <conditionalFormatting sqref="F57">
    <cfRule type="expression" dxfId="88" priority="39">
      <formula>$F$57&lt;$F$53</formula>
    </cfRule>
  </conditionalFormatting>
  <conditionalFormatting sqref="F58">
    <cfRule type="expression" dxfId="87" priority="40">
      <formula>$F$58&lt;$F$53</formula>
    </cfRule>
  </conditionalFormatting>
  <conditionalFormatting sqref="H57">
    <cfRule type="expression" dxfId="86" priority="41">
      <formula>$H$57&lt;$H$53</formula>
    </cfRule>
  </conditionalFormatting>
  <conditionalFormatting sqref="H58">
    <cfRule type="expression" dxfId="85" priority="42">
      <formula>$H$58&lt;$H$53</formula>
    </cfRule>
  </conditionalFormatting>
  <conditionalFormatting sqref="J57">
    <cfRule type="expression" dxfId="84" priority="43">
      <formula>$J$57&lt;$J$53</formula>
    </cfRule>
  </conditionalFormatting>
  <conditionalFormatting sqref="J58">
    <cfRule type="expression" dxfId="83" priority="44">
      <formula>$J$58&lt;$J$53</formula>
    </cfRule>
  </conditionalFormatting>
  <conditionalFormatting sqref="D57">
    <cfRule type="expression" dxfId="82" priority="30">
      <formula>$D$57&lt;$D$53</formula>
    </cfRule>
  </conditionalFormatting>
  <conditionalFormatting sqref="H49">
    <cfRule type="expression" dxfId="81" priority="29">
      <formula>AND($H$49&gt;100,$G$5="Zweireihige Ankeranordnung")</formula>
    </cfRule>
  </conditionalFormatting>
  <conditionalFormatting sqref="J61">
    <cfRule type="expression" dxfId="80" priority="28">
      <formula>AND($J$61&gt;100,$G$5="Zweireihige Ankeranordnung")</formula>
    </cfRule>
  </conditionalFormatting>
  <conditionalFormatting sqref="H59">
    <cfRule type="expression" dxfId="79" priority="27">
      <formula>$H$59&lt;$H$54</formula>
    </cfRule>
  </conditionalFormatting>
  <conditionalFormatting sqref="J59">
    <cfRule type="expression" dxfId="78" priority="26">
      <formula>$J$59&lt;$J$54</formula>
    </cfRule>
  </conditionalFormatting>
  <conditionalFormatting sqref="D59">
    <cfRule type="expression" dxfId="77" priority="25">
      <formula>$D$59&lt;$D$54</formula>
    </cfRule>
  </conditionalFormatting>
  <conditionalFormatting sqref="F59">
    <cfRule type="expression" dxfId="76" priority="24">
      <formula>$F$59&lt;$F$54</formula>
    </cfRule>
  </conditionalFormatting>
  <conditionalFormatting sqref="D48">
    <cfRule type="expression" dxfId="75" priority="20">
      <formula>$D$48&lt;$D$43</formula>
    </cfRule>
  </conditionalFormatting>
  <conditionalFormatting sqref="H48">
    <cfRule type="expression" dxfId="74" priority="17">
      <formula>$H$48&lt;$H$43</formula>
    </cfRule>
  </conditionalFormatting>
  <conditionalFormatting sqref="D60">
    <cfRule type="expression" dxfId="73" priority="16">
      <formula>$D$60&lt;$D$55</formula>
    </cfRule>
  </conditionalFormatting>
  <conditionalFormatting sqref="H60">
    <cfRule type="expression" dxfId="72" priority="14">
      <formula>$H$60&lt;$H$55</formula>
    </cfRule>
  </conditionalFormatting>
  <conditionalFormatting sqref="F7:K7">
    <cfRule type="expression" dxfId="71" priority="9">
      <formula>OR(W2=AA24,W2&gt;AA24)</formula>
    </cfRule>
    <cfRule type="expression" dxfId="70" priority="10">
      <formula>W2&lt;AA24</formula>
    </cfRule>
  </conditionalFormatting>
  <conditionalFormatting sqref="F8">
    <cfRule type="expression" dxfId="69" priority="7">
      <formula>OR(M79&lt;Y56,M79&gt;Y56)</formula>
    </cfRule>
    <cfRule type="expression" dxfId="68" priority="8">
      <formula>M79=Y56</formula>
    </cfRule>
  </conditionalFormatting>
  <conditionalFormatting sqref="F6:K6">
    <cfRule type="expression" dxfId="67" priority="5">
      <formula>AC32=1</formula>
    </cfRule>
  </conditionalFormatting>
  <conditionalFormatting sqref="G8:K8">
    <cfRule type="expression" dxfId="66" priority="142">
      <formula>OR(N80&lt;Z56,N80&gt;Z56)</formula>
    </cfRule>
    <cfRule type="expression" dxfId="65" priority="143">
      <formula>N80=Z56</formula>
    </cfRule>
  </conditionalFormatting>
  <conditionalFormatting sqref="B14">
    <cfRule type="expression" dxfId="64" priority="4">
      <formula>N2=0</formula>
    </cfRule>
  </conditionalFormatting>
  <conditionalFormatting sqref="C14">
    <cfRule type="expression" dxfId="63" priority="1">
      <formula>N2=0</formula>
    </cfRule>
    <cfRule type="expression" dxfId="62" priority="3">
      <formula>N2=0</formula>
    </cfRule>
  </conditionalFormatting>
  <conditionalFormatting sqref="D14:E14">
    <cfRule type="expression" dxfId="61" priority="2">
      <formula>N2=0</formula>
    </cfRule>
  </conditionalFormatting>
  <dataValidations count="23">
    <dataValidation type="decimal" allowBlank="1" showInputMessage="1" showErrorMessage="1" sqref="D35" xr:uid="{00000000-0002-0000-0500-000000000000}">
      <formula1>0</formula1>
      <formula2>999999999</formula2>
    </dataValidation>
    <dataValidation type="decimal" allowBlank="1" showInputMessage="1" showErrorMessage="1" error="Bitte geben Sie eine Zahl größer 0 ein." sqref="C25:C26" xr:uid="{00000000-0002-0000-0500-000001000000}">
      <formula1>0</formula1>
      <formula2>999999</formula2>
    </dataValidation>
    <dataValidation type="decimal" allowBlank="1" showInputMessage="1" showErrorMessage="1" error="Bitte geben Sie einen gültigen Wert für den Drehpunktabstand ein (nicht größer als cT und nicht negativ)" sqref="C9" xr:uid="{00000000-0002-0000-0500-000002000000}">
      <formula1>0</formula1>
      <formula2>C7-1</formula2>
    </dataValidation>
    <dataValidation type="decimal" allowBlank="1" showInputMessage="1" showErrorMessage="1" error="Geben Sie einen gültigen Wert für den Randabstand ein (Mindestrandabstand beachten)" sqref="C16" xr:uid="{00000000-0002-0000-0500-000003000000}">
      <formula1>AC24</formula1>
      <formula2>9999999</formula2>
    </dataValidation>
    <dataValidation type="decimal" allowBlank="1" showInputMessage="1" showErrorMessage="1" error="Der Befestigungsabstand muss größer als der Mindestachsabstand sein" sqref="J28" xr:uid="{00000000-0002-0000-0500-000004000000}">
      <formula1>AC25</formula1>
      <formula2>9999999</formula2>
    </dataValidation>
    <dataValidation type="decimal" allowBlank="1" showInputMessage="1" showErrorMessage="1" error="Der Befestigungsabstand muss größer als der Mindestachsabstand sein" sqref="J32" xr:uid="{00000000-0002-0000-0500-000005000000}">
      <formula1>AC25</formula1>
      <formula2>9999999</formula2>
    </dataValidation>
    <dataValidation type="list" allowBlank="1" showInputMessage="1" showErrorMessage="1" sqref="C12:E12" xr:uid="{00000000-0002-0000-0500-000006000000}">
      <formula1>$Q$63:$T$63</formula1>
    </dataValidation>
    <dataValidation type="list" errorStyle="information" allowBlank="1" showInputMessage="1" showErrorMessage="1" error="Eingabe beliebiger Text für direkte Einwirkung möglich." sqref="C24:E24" xr:uid="{00000000-0002-0000-0500-000007000000}">
      <formula1>$M$37:$M$40</formula1>
    </dataValidation>
    <dataValidation type="whole" operator="greaterThan" allowBlank="1" showInputMessage="1" showErrorMessage="1" error="Mindestkappenhöhe 100 mm_x000a_Für Sonderlösungen bitte Hilti Engineering kontaktieren." sqref="C18" xr:uid="{00000000-0002-0000-0500-000008000000}">
      <formula1>99</formula1>
    </dataValidation>
    <dataValidation type="list" allowBlank="1" showInputMessage="1" showErrorMessage="1" sqref="C3:E3" xr:uid="{00000000-0002-0000-0500-000009000000}">
      <formula1>$N$64:$N$67</formula1>
    </dataValidation>
    <dataValidation type="list" errorStyle="information" allowBlank="1" showInputMessage="1" prompt="Empfohlene Werte._x000a_Eingabe beliebiger Wert möglich." sqref="C10" xr:uid="{00000000-0002-0000-0500-00000A000000}">
      <formula1>$P$8:$P$12</formula1>
    </dataValidation>
    <dataValidation type="list" errorStyle="information" allowBlank="1" showInputMessage="1" error="Eingabe beliebiger Wert möglich. Abstufung in 10 mm Schritten günstig._x000a_Bitte Kommentar für Betondeckung Kopfbolzen beachten._x000a_" prompt="Kommentar &quot;Betondeckung Kopfbolzen cnom&quot; beachten." sqref="C19" xr:uid="{00000000-0002-0000-0500-00000B000000}">
      <formula1>$Q$8:$Q$13</formula1>
    </dataValidation>
    <dataValidation type="list" allowBlank="1" showInputMessage="1" showErrorMessage="1" sqref="C4" xr:uid="{00000000-0002-0000-0500-00000C000000}">
      <formula1>$Q$37:$Q$39</formula1>
    </dataValidation>
    <dataValidation type="list" allowBlank="1" showInputMessage="1" showErrorMessage="1" error="Bitte Wert von 1600 - 2200 kg/m3 eingeben." prompt="Bitte gewählte Dimension Kappenverankerung und Kommentar Kopfbolzenart beachten." sqref="C15:E15" xr:uid="{00000000-0002-0000-0500-00000D000000}">
      <formula1>$S$50:$S$54</formula1>
    </dataValidation>
    <dataValidation type="list" allowBlank="1" showInputMessage="1" showErrorMessage="1" error="Bitte geben Sie eine Betongüte über das Menü ein." sqref="C6:E6" xr:uid="{00000000-0002-0000-0500-00000E000000}">
      <formula1>$V$2:$V$8</formula1>
    </dataValidation>
    <dataValidation type="list" allowBlank="1" showInputMessage="1" showErrorMessage="1" sqref="C33:E33" xr:uid="{00000000-0002-0000-0500-00000F000000}">
      <formula1>$N$41:$N$43</formula1>
    </dataValidation>
    <dataValidation type="list" sqref="F4" xr:uid="{00000000-0002-0000-0500-000010000000}">
      <formula1>$M$105:$M$110</formula1>
    </dataValidation>
    <dataValidation operator="greaterThan" allowBlank="1" showInputMessage="1" showErrorMessage="1" sqref="P79:P80" xr:uid="{00000000-0002-0000-0500-000011000000}"/>
    <dataValidation type="whole" allowBlank="1" showInputMessage="1" showErrorMessage="1" error="Geben Sie einen gültigen Wert für den Dübelreihenabstand ein._x000a_cmin zum Rand Überbau bzw. _x000a_smin zwischen den HCC-Reihen: _x000a_M16=80 mm; M20=100 mm; M24=120 mm" sqref="C17" xr:uid="{00000000-0002-0000-0500-000012000000}">
      <formula1>AC25</formula1>
      <formula2>(C7-AC24)</formula2>
    </dataValidation>
    <dataValidation type="decimal" allowBlank="1" showInputMessage="1" showErrorMessage="1" error="Bitte geben Sie einen gültigen Wert für den Randabstand ein (&gt; Mindestrandabstand cmin und Drehpunktabstand d)" sqref="C7" xr:uid="{00000000-0002-0000-0500-000013000000}">
      <formula1>MAX(C9+1,AC24)</formula1>
      <formula2>9999999</formula2>
    </dataValidation>
    <dataValidation type="list" allowBlank="1" showInputMessage="1" showErrorMessage="1" error="Geben Sie bitte die Dübelanordnung über das Menü ein:_x000a_- Einreihige Dübelanordnung_x000a_- Zweireihige Dübelanordnung" sqref="G5:J5" xr:uid="{00000000-0002-0000-0500-000014000000}">
      <formula1>$P$3:$P$4</formula1>
    </dataValidation>
    <dataValidation type="decimal" allowBlank="1" showInputMessage="1" showErrorMessage="1" errorTitle="Hinweis" error="Bitte Wert von 1600 - 2200 kg/m3 eingeben." sqref="C14" xr:uid="{00000000-0002-0000-0500-000015000000}">
      <formula1>1600</formula1>
      <formula2>2200</formula2>
    </dataValidation>
    <dataValidation type="list" allowBlank="1" showInputMessage="1" showErrorMessage="1" error="Bitte geben Sie eine Betongüte über das Menü ein." sqref="C13:E13" xr:uid="{00000000-0002-0000-0500-000016000000}">
      <formula1>$M$1:$M$14</formula1>
    </dataValidation>
  </dataValidations>
  <pageMargins left="0.31496062992125984" right="0.31496062992125984" top="0.19685039370078741" bottom="0.19685039370078741" header="0.31496062992125984" footer="0.31496062992125984"/>
  <pageSetup paperSize="9" scale="77" orientation="portrait" r:id="rId2"/>
  <rowBreaks count="1" manualBreakCount="1">
    <brk id="61" max="16383" man="1"/>
  </rowBreaks>
  <colBreaks count="1" manualBreakCount="1">
    <brk id="11" max="1048575" man="1"/>
  </colBreaks>
  <ignoredErrors>
    <ignoredError sqref="C29:C30 F5 F13 F29 F33 S15:S16 Z23:Z24" unlockedFormula="1"/>
    <ignoredError sqref="J48:J49 J57:K57 J61:K61 J41 J53 J45:J47 J58:J60" formula="1"/>
  </ignoredError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5"/>
  <dimension ref="A2:K911"/>
  <sheetViews>
    <sheetView topLeftCell="A891" zoomScale="85" zoomScaleNormal="85" workbookViewId="0">
      <selection activeCell="D906" sqref="D906"/>
    </sheetView>
  </sheetViews>
  <sheetFormatPr baseColWidth="10" defaultColWidth="11.33203125" defaultRowHeight="12.7"/>
  <cols>
    <col min="4" max="4" width="18.6640625" style="76" customWidth="1"/>
    <col min="5" max="5" width="14.33203125" bestFit="1" customWidth="1"/>
    <col min="6" max="6" width="27.109375" customWidth="1"/>
    <col min="7" max="7" width="40.6640625" customWidth="1"/>
    <col min="9" max="9" width="31" bestFit="1" customWidth="1"/>
    <col min="10" max="10" width="58.6640625" customWidth="1"/>
    <col min="11" max="11" width="99.88671875" bestFit="1" customWidth="1"/>
  </cols>
  <sheetData>
    <row r="2" spans="3:11">
      <c r="D2" s="390" t="s">
        <v>365</v>
      </c>
      <c r="E2" s="357"/>
    </row>
    <row r="3" spans="3:11">
      <c r="D3" s="76" t="s">
        <v>1488</v>
      </c>
      <c r="E3" s="357">
        <f>IFERROR(MATCH(D3,D11:D904,0),0)</f>
        <v>0</v>
      </c>
      <c r="F3" t="s">
        <v>1273</v>
      </c>
    </row>
    <row r="4" spans="3:11">
      <c r="D4" s="390" t="s">
        <v>381</v>
      </c>
      <c r="E4" s="357"/>
    </row>
    <row r="5" spans="3:11" ht="13.25" thickBot="1">
      <c r="D5" s="361" t="s">
        <v>1103</v>
      </c>
      <c r="E5" s="360">
        <f>IFERROR(MATCH(D5,F11:F501,0),0)</f>
        <v>14</v>
      </c>
      <c r="G5" s="357"/>
    </row>
    <row r="7" spans="3:11">
      <c r="D7" s="390" t="s">
        <v>382</v>
      </c>
      <c r="E7" s="357">
        <f>E3+E5</f>
        <v>14</v>
      </c>
    </row>
    <row r="10" spans="3:11">
      <c r="D10" s="355" t="s">
        <v>364</v>
      </c>
      <c r="F10" s="355" t="s">
        <v>381</v>
      </c>
      <c r="J10" t="s">
        <v>366</v>
      </c>
      <c r="K10" t="s">
        <v>367</v>
      </c>
    </row>
    <row r="11" spans="3:11">
      <c r="C11">
        <v>1</v>
      </c>
      <c r="D11" s="362" t="s">
        <v>386</v>
      </c>
      <c r="E11" s="1031"/>
      <c r="F11" s="76" t="s">
        <v>383</v>
      </c>
      <c r="H11" t="s">
        <v>368</v>
      </c>
      <c r="I11" s="356" t="s">
        <v>369</v>
      </c>
      <c r="J11" t="str">
        <f>VLOOKUP(I11,H15:I19,2,)</f>
        <v>planer-support@hilti.com</v>
      </c>
      <c r="K11" t="str">
        <f>VLOOKUP(I11,H15:J19,3,)</f>
        <v>Achtung, die erforderliche Autorisierung fehlt. Wenn Sie das Tool verwenden möchten, dann kontaktieren sie Hilti unter :</v>
      </c>
    </row>
    <row r="12" spans="3:11">
      <c r="C12">
        <v>2</v>
      </c>
      <c r="D12" s="362" t="s">
        <v>1188</v>
      </c>
      <c r="E12" s="1031"/>
      <c r="F12" s="76" t="s">
        <v>384</v>
      </c>
    </row>
    <row r="13" spans="3:11">
      <c r="C13">
        <v>3</v>
      </c>
      <c r="D13" s="364" t="s">
        <v>617</v>
      </c>
      <c r="E13" s="1031"/>
      <c r="F13" s="76" t="s">
        <v>385</v>
      </c>
    </row>
    <row r="14" spans="3:11">
      <c r="C14">
        <v>4</v>
      </c>
      <c r="D14" s="364" t="s">
        <v>1096</v>
      </c>
      <c r="E14" s="1031"/>
      <c r="F14" s="364" t="s">
        <v>387</v>
      </c>
    </row>
    <row r="15" spans="3:11">
      <c r="C15">
        <v>5</v>
      </c>
      <c r="D15" s="364" t="s">
        <v>1097</v>
      </c>
      <c r="F15" s="363" t="s">
        <v>1011</v>
      </c>
      <c r="H15" s="357" t="s">
        <v>369</v>
      </c>
      <c r="I15" s="358" t="s">
        <v>370</v>
      </c>
      <c r="J15" t="s">
        <v>379</v>
      </c>
    </row>
    <row r="16" spans="3:11">
      <c r="C16">
        <v>6</v>
      </c>
      <c r="D16" s="364" t="s">
        <v>618</v>
      </c>
      <c r="F16" s="638" t="s">
        <v>1012</v>
      </c>
      <c r="H16" s="357" t="s">
        <v>371</v>
      </c>
      <c r="I16" s="358" t="s">
        <v>372</v>
      </c>
      <c r="J16" t="s">
        <v>379</v>
      </c>
    </row>
    <row r="17" spans="3:10">
      <c r="C17">
        <v>7</v>
      </c>
      <c r="D17" s="364" t="s">
        <v>619</v>
      </c>
      <c r="F17" s="639" t="s">
        <v>1013</v>
      </c>
      <c r="H17" s="357" t="s">
        <v>373</v>
      </c>
      <c r="I17" s="358" t="s">
        <v>374</v>
      </c>
      <c r="J17" t="s">
        <v>379</v>
      </c>
    </row>
    <row r="18" spans="3:10">
      <c r="C18">
        <v>8</v>
      </c>
      <c r="D18" s="364" t="s">
        <v>620</v>
      </c>
      <c r="F18" s="639" t="s">
        <v>1014</v>
      </c>
      <c r="H18" s="357" t="s">
        <v>375</v>
      </c>
      <c r="I18" s="358" t="s">
        <v>376</v>
      </c>
    </row>
    <row r="19" spans="3:10">
      <c r="C19">
        <v>9</v>
      </c>
      <c r="D19" s="364" t="s">
        <v>1434</v>
      </c>
      <c r="F19" s="76" t="s">
        <v>1015</v>
      </c>
      <c r="H19" s="357" t="s">
        <v>377</v>
      </c>
      <c r="I19" s="358" t="s">
        <v>378</v>
      </c>
    </row>
    <row r="20" spans="3:10">
      <c r="C20">
        <v>10</v>
      </c>
      <c r="D20" s="903" t="s">
        <v>1074</v>
      </c>
      <c r="F20" s="363" t="s">
        <v>1060</v>
      </c>
    </row>
    <row r="21" spans="3:10">
      <c r="C21">
        <v>11</v>
      </c>
      <c r="D21" s="364" t="s">
        <v>621</v>
      </c>
      <c r="F21" s="640" t="s">
        <v>1061</v>
      </c>
    </row>
    <row r="22" spans="3:10">
      <c r="C22">
        <v>12</v>
      </c>
      <c r="D22" s="364" t="s">
        <v>1460</v>
      </c>
      <c r="F22" s="641" t="s">
        <v>1090</v>
      </c>
    </row>
    <row r="23" spans="3:10">
      <c r="C23">
        <v>13</v>
      </c>
      <c r="D23" s="364" t="s">
        <v>622</v>
      </c>
      <c r="F23" s="641" t="s">
        <v>1095</v>
      </c>
    </row>
    <row r="24" spans="3:10">
      <c r="C24">
        <v>14</v>
      </c>
      <c r="D24" s="364" t="s">
        <v>623</v>
      </c>
      <c r="F24" s="641" t="s">
        <v>1103</v>
      </c>
    </row>
    <row r="25" spans="3:10">
      <c r="C25">
        <v>15</v>
      </c>
      <c r="D25" s="364" t="s">
        <v>624</v>
      </c>
      <c r="F25" s="363" t="s">
        <v>1112</v>
      </c>
    </row>
    <row r="26" spans="3:10">
      <c r="C26">
        <v>16</v>
      </c>
      <c r="D26" s="364" t="s">
        <v>625</v>
      </c>
      <c r="F26" s="363" t="s">
        <v>1274</v>
      </c>
    </row>
    <row r="27" spans="3:10">
      <c r="C27">
        <v>17</v>
      </c>
      <c r="D27" s="364" t="s">
        <v>626</v>
      </c>
      <c r="F27" t="s">
        <v>1283</v>
      </c>
    </row>
    <row r="28" spans="3:10">
      <c r="C28">
        <v>18</v>
      </c>
      <c r="D28" s="364" t="s">
        <v>1070</v>
      </c>
      <c r="F28" t="s">
        <v>1309</v>
      </c>
    </row>
    <row r="29" spans="3:10">
      <c r="C29">
        <v>19</v>
      </c>
      <c r="D29" s="364" t="s">
        <v>627</v>
      </c>
    </row>
    <row r="30" spans="3:10">
      <c r="C30">
        <v>20</v>
      </c>
      <c r="D30" s="364" t="s">
        <v>628</v>
      </c>
    </row>
    <row r="31" spans="3:10">
      <c r="C31">
        <v>21</v>
      </c>
      <c r="D31" s="364" t="s">
        <v>629</v>
      </c>
    </row>
    <row r="32" spans="3:10">
      <c r="C32">
        <v>22</v>
      </c>
      <c r="D32" s="364" t="s">
        <v>630</v>
      </c>
    </row>
    <row r="33" spans="3:4">
      <c r="C33">
        <v>23</v>
      </c>
      <c r="D33" s="903" t="s">
        <v>1066</v>
      </c>
    </row>
    <row r="34" spans="3:4">
      <c r="C34">
        <v>24</v>
      </c>
      <c r="D34" s="363" t="s">
        <v>1505</v>
      </c>
    </row>
    <row r="35" spans="3:4">
      <c r="C35">
        <v>25</v>
      </c>
      <c r="D35" s="364" t="s">
        <v>633</v>
      </c>
    </row>
    <row r="36" spans="3:4">
      <c r="C36">
        <v>26</v>
      </c>
      <c r="D36" s="903" t="s">
        <v>1385</v>
      </c>
    </row>
    <row r="37" spans="3:4">
      <c r="C37">
        <v>27</v>
      </c>
      <c r="D37" s="904" t="s">
        <v>1526</v>
      </c>
    </row>
    <row r="38" spans="3:4">
      <c r="C38">
        <v>28</v>
      </c>
      <c r="D38" s="904" t="s">
        <v>1527</v>
      </c>
    </row>
    <row r="39" spans="3:4">
      <c r="C39">
        <v>29</v>
      </c>
      <c r="D39" s="904" t="s">
        <v>1528</v>
      </c>
    </row>
    <row r="40" spans="3:4">
      <c r="C40">
        <v>30</v>
      </c>
      <c r="D40" s="364" t="s">
        <v>1547</v>
      </c>
    </row>
    <row r="41" spans="3:4">
      <c r="C41">
        <v>31</v>
      </c>
      <c r="D41" s="364" t="s">
        <v>634</v>
      </c>
    </row>
    <row r="42" spans="3:4">
      <c r="C42">
        <v>32</v>
      </c>
      <c r="D42" s="364" t="s">
        <v>635</v>
      </c>
    </row>
    <row r="43" spans="3:4">
      <c r="C43">
        <v>33</v>
      </c>
      <c r="D43" s="364" t="s">
        <v>636</v>
      </c>
    </row>
    <row r="44" spans="3:4">
      <c r="C44">
        <v>34</v>
      </c>
      <c r="D44" s="364" t="s">
        <v>637</v>
      </c>
    </row>
    <row r="45" spans="3:4">
      <c r="C45">
        <v>35</v>
      </c>
      <c r="D45" s="364" t="s">
        <v>638</v>
      </c>
    </row>
    <row r="46" spans="3:4">
      <c r="C46">
        <v>36</v>
      </c>
      <c r="D46" s="364" t="s">
        <v>639</v>
      </c>
    </row>
    <row r="47" spans="3:4">
      <c r="C47">
        <v>37</v>
      </c>
      <c r="D47" s="364" t="s">
        <v>640</v>
      </c>
    </row>
    <row r="48" spans="3:4">
      <c r="C48">
        <v>38</v>
      </c>
      <c r="D48" s="364" t="s">
        <v>641</v>
      </c>
    </row>
    <row r="49" spans="3:4">
      <c r="C49">
        <v>39</v>
      </c>
      <c r="D49" s="363" t="s">
        <v>642</v>
      </c>
    </row>
    <row r="50" spans="3:4">
      <c r="C50">
        <v>40</v>
      </c>
      <c r="D50" s="364" t="s">
        <v>643</v>
      </c>
    </row>
    <row r="51" spans="3:4">
      <c r="C51">
        <v>41</v>
      </c>
      <c r="D51" s="364" t="s">
        <v>1549</v>
      </c>
    </row>
    <row r="52" spans="3:4">
      <c r="C52">
        <v>42</v>
      </c>
      <c r="D52" s="364" t="s">
        <v>645</v>
      </c>
    </row>
    <row r="53" spans="3:4">
      <c r="C53">
        <v>43</v>
      </c>
      <c r="D53" s="364" t="s">
        <v>646</v>
      </c>
    </row>
    <row r="54" spans="3:4">
      <c r="C54">
        <v>44</v>
      </c>
      <c r="D54" s="364" t="s">
        <v>647</v>
      </c>
    </row>
    <row r="55" spans="3:4">
      <c r="C55">
        <v>45</v>
      </c>
      <c r="D55" s="364" t="s">
        <v>648</v>
      </c>
    </row>
    <row r="56" spans="3:4">
      <c r="C56">
        <v>46</v>
      </c>
      <c r="D56" s="364" t="s">
        <v>649</v>
      </c>
    </row>
    <row r="57" spans="3:4">
      <c r="C57">
        <v>47</v>
      </c>
      <c r="D57" s="364" t="s">
        <v>650</v>
      </c>
    </row>
    <row r="58" spans="3:4">
      <c r="C58">
        <v>48</v>
      </c>
      <c r="D58" s="364" t="s">
        <v>651</v>
      </c>
    </row>
    <row r="59" spans="3:4">
      <c r="C59">
        <v>49</v>
      </c>
      <c r="D59" s="364" t="s">
        <v>652</v>
      </c>
    </row>
    <row r="60" spans="3:4">
      <c r="C60">
        <v>50</v>
      </c>
      <c r="D60" s="364" t="s">
        <v>653</v>
      </c>
    </row>
    <row r="61" spans="3:4">
      <c r="C61">
        <v>51</v>
      </c>
      <c r="D61" s="364" t="s">
        <v>1525</v>
      </c>
    </row>
    <row r="62" spans="3:4">
      <c r="C62">
        <v>52</v>
      </c>
      <c r="D62" s="364" t="s">
        <v>654</v>
      </c>
    </row>
    <row r="63" spans="3:4">
      <c r="C63">
        <v>53</v>
      </c>
      <c r="D63" s="364" t="s">
        <v>655</v>
      </c>
    </row>
    <row r="64" spans="3:4">
      <c r="C64">
        <v>54</v>
      </c>
      <c r="D64" s="364" t="s">
        <v>656</v>
      </c>
    </row>
    <row r="65" spans="3:4">
      <c r="C65">
        <v>55</v>
      </c>
      <c r="D65" s="364" t="s">
        <v>657</v>
      </c>
    </row>
    <row r="66" spans="3:4">
      <c r="C66">
        <v>56</v>
      </c>
      <c r="D66" s="364" t="s">
        <v>658</v>
      </c>
    </row>
    <row r="67" spans="3:4">
      <c r="C67">
        <v>57</v>
      </c>
      <c r="D67" s="364" t="s">
        <v>659</v>
      </c>
    </row>
    <row r="68" spans="3:4">
      <c r="C68">
        <v>58</v>
      </c>
      <c r="D68" s="364" t="s">
        <v>660</v>
      </c>
    </row>
    <row r="69" spans="3:4">
      <c r="C69">
        <v>59</v>
      </c>
      <c r="D69" s="364" t="s">
        <v>661</v>
      </c>
    </row>
    <row r="70" spans="3:4">
      <c r="C70">
        <v>60</v>
      </c>
      <c r="D70" s="364" t="s">
        <v>662</v>
      </c>
    </row>
    <row r="71" spans="3:4">
      <c r="C71">
        <v>61</v>
      </c>
      <c r="D71" s="364" t="s">
        <v>663</v>
      </c>
    </row>
    <row r="72" spans="3:4">
      <c r="C72">
        <v>62</v>
      </c>
      <c r="D72" s="364" t="s">
        <v>664</v>
      </c>
    </row>
    <row r="73" spans="3:4">
      <c r="C73">
        <v>63</v>
      </c>
      <c r="D73" s="364" t="s">
        <v>665</v>
      </c>
    </row>
    <row r="74" spans="3:4">
      <c r="C74">
        <v>64</v>
      </c>
      <c r="D74" s="364" t="s">
        <v>666</v>
      </c>
    </row>
    <row r="75" spans="3:4">
      <c r="C75">
        <v>65</v>
      </c>
      <c r="D75" s="638" t="s">
        <v>667</v>
      </c>
    </row>
    <row r="76" spans="3:4">
      <c r="C76">
        <v>66</v>
      </c>
      <c r="D76" s="364" t="s">
        <v>668</v>
      </c>
    </row>
    <row r="77" spans="3:4">
      <c r="C77">
        <v>67</v>
      </c>
      <c r="D77" s="364" t="s">
        <v>669</v>
      </c>
    </row>
    <row r="78" spans="3:4">
      <c r="C78">
        <v>68</v>
      </c>
      <c r="D78" s="364" t="s">
        <v>670</v>
      </c>
    </row>
    <row r="79" spans="3:4">
      <c r="C79">
        <v>69</v>
      </c>
      <c r="D79" s="364" t="s">
        <v>671</v>
      </c>
    </row>
    <row r="80" spans="3:4">
      <c r="C80">
        <v>70</v>
      </c>
      <c r="D80" s="364" t="s">
        <v>380</v>
      </c>
    </row>
    <row r="81" spans="3:4">
      <c r="C81">
        <v>71</v>
      </c>
      <c r="D81" s="364" t="s">
        <v>672</v>
      </c>
    </row>
    <row r="82" spans="3:4">
      <c r="C82">
        <v>72</v>
      </c>
      <c r="D82" s="364" t="s">
        <v>673</v>
      </c>
    </row>
    <row r="83" spans="3:4">
      <c r="C83">
        <v>73</v>
      </c>
      <c r="D83" s="364" t="s">
        <v>674</v>
      </c>
    </row>
    <row r="84" spans="3:4">
      <c r="C84">
        <v>74</v>
      </c>
      <c r="D84" s="364" t="s">
        <v>675</v>
      </c>
    </row>
    <row r="85" spans="3:4">
      <c r="C85">
        <v>75</v>
      </c>
      <c r="D85" s="907" t="s">
        <v>1546</v>
      </c>
    </row>
    <row r="86" spans="3:4">
      <c r="C86">
        <v>76</v>
      </c>
      <c r="D86" s="364" t="s">
        <v>676</v>
      </c>
    </row>
    <row r="87" spans="3:4">
      <c r="C87">
        <v>77</v>
      </c>
      <c r="D87" s="364" t="s">
        <v>677</v>
      </c>
    </row>
    <row r="88" spans="3:4">
      <c r="C88">
        <v>78</v>
      </c>
      <c r="D88" s="364" t="s">
        <v>678</v>
      </c>
    </row>
    <row r="89" spans="3:4">
      <c r="C89">
        <v>79</v>
      </c>
      <c r="D89" s="364" t="s">
        <v>679</v>
      </c>
    </row>
    <row r="90" spans="3:4">
      <c r="C90">
        <v>80</v>
      </c>
      <c r="D90" s="364" t="s">
        <v>1219</v>
      </c>
    </row>
    <row r="91" spans="3:4">
      <c r="C91">
        <v>81</v>
      </c>
      <c r="D91" s="364" t="s">
        <v>680</v>
      </c>
    </row>
    <row r="92" spans="3:4">
      <c r="C92">
        <v>82</v>
      </c>
      <c r="D92" s="364" t="s">
        <v>681</v>
      </c>
    </row>
    <row r="93" spans="3:4">
      <c r="C93">
        <v>83</v>
      </c>
      <c r="D93" s="364" t="s">
        <v>682</v>
      </c>
    </row>
    <row r="94" spans="3:4">
      <c r="C94">
        <v>84</v>
      </c>
      <c r="D94" s="364" t="s">
        <v>683</v>
      </c>
    </row>
    <row r="95" spans="3:4">
      <c r="C95">
        <v>85</v>
      </c>
      <c r="D95" s="364" t="s">
        <v>632</v>
      </c>
    </row>
    <row r="96" spans="3:4">
      <c r="C96">
        <v>86</v>
      </c>
      <c r="D96" s="364" t="s">
        <v>684</v>
      </c>
    </row>
    <row r="97" spans="3:4">
      <c r="C97">
        <v>87</v>
      </c>
      <c r="D97" s="364" t="s">
        <v>685</v>
      </c>
    </row>
    <row r="98" spans="3:4">
      <c r="C98">
        <v>88</v>
      </c>
      <c r="D98" s="364" t="s">
        <v>686</v>
      </c>
    </row>
    <row r="99" spans="3:4">
      <c r="C99">
        <v>89</v>
      </c>
      <c r="D99" s="364" t="s">
        <v>687</v>
      </c>
    </row>
    <row r="100" spans="3:4">
      <c r="C100">
        <v>90</v>
      </c>
      <c r="D100" s="363" t="s">
        <v>688</v>
      </c>
    </row>
    <row r="101" spans="3:4">
      <c r="C101">
        <v>91</v>
      </c>
      <c r="D101" s="363" t="s">
        <v>1335</v>
      </c>
    </row>
    <row r="102" spans="3:4">
      <c r="C102">
        <v>92</v>
      </c>
      <c r="D102" s="363" t="s">
        <v>1336</v>
      </c>
    </row>
    <row r="103" spans="3:4">
      <c r="C103">
        <v>93</v>
      </c>
      <c r="D103" s="363" t="s">
        <v>689</v>
      </c>
    </row>
    <row r="104" spans="3:4">
      <c r="C104">
        <v>94</v>
      </c>
      <c r="D104" s="363" t="s">
        <v>1456</v>
      </c>
    </row>
    <row r="105" spans="3:4">
      <c r="C105">
        <v>95</v>
      </c>
      <c r="D105" s="363" t="s">
        <v>690</v>
      </c>
    </row>
    <row r="106" spans="3:4">
      <c r="C106">
        <v>96</v>
      </c>
      <c r="D106" s="363" t="s">
        <v>691</v>
      </c>
    </row>
    <row r="107" spans="3:4">
      <c r="C107">
        <v>97</v>
      </c>
      <c r="D107" s="363" t="s">
        <v>692</v>
      </c>
    </row>
    <row r="108" spans="3:4">
      <c r="C108">
        <v>98</v>
      </c>
      <c r="D108" s="363" t="s">
        <v>693</v>
      </c>
    </row>
    <row r="109" spans="3:4">
      <c r="C109">
        <v>99</v>
      </c>
      <c r="D109" s="364" t="s">
        <v>694</v>
      </c>
    </row>
    <row r="110" spans="3:4">
      <c r="C110">
        <v>100</v>
      </c>
      <c r="D110" s="364" t="s">
        <v>695</v>
      </c>
    </row>
    <row r="111" spans="3:4">
      <c r="C111">
        <v>101</v>
      </c>
      <c r="D111" s="364" t="s">
        <v>696</v>
      </c>
    </row>
    <row r="112" spans="3:4">
      <c r="C112">
        <v>102</v>
      </c>
      <c r="D112" s="364" t="s">
        <v>1222</v>
      </c>
    </row>
    <row r="113" spans="3:4">
      <c r="C113">
        <v>103</v>
      </c>
      <c r="D113" s="364" t="s">
        <v>697</v>
      </c>
    </row>
    <row r="114" spans="3:4">
      <c r="C114">
        <v>104</v>
      </c>
      <c r="D114" s="364" t="s">
        <v>698</v>
      </c>
    </row>
    <row r="115" spans="3:4">
      <c r="C115">
        <v>105</v>
      </c>
      <c r="D115" s="364" t="s">
        <v>699</v>
      </c>
    </row>
    <row r="116" spans="3:4">
      <c r="C116">
        <v>106</v>
      </c>
      <c r="D116" s="363" t="s">
        <v>700</v>
      </c>
    </row>
    <row r="117" spans="3:4">
      <c r="C117">
        <v>107</v>
      </c>
      <c r="D117" s="363" t="s">
        <v>701</v>
      </c>
    </row>
    <row r="118" spans="3:4">
      <c r="C118">
        <v>108</v>
      </c>
      <c r="D118" s="364" t="s">
        <v>702</v>
      </c>
    </row>
    <row r="119" spans="3:4">
      <c r="C119">
        <v>109</v>
      </c>
      <c r="D119" s="76" t="s">
        <v>1240</v>
      </c>
    </row>
    <row r="120" spans="3:4">
      <c r="C120">
        <v>110</v>
      </c>
      <c r="D120" s="363" t="s">
        <v>703</v>
      </c>
    </row>
    <row r="121" spans="3:4">
      <c r="C121">
        <v>111</v>
      </c>
      <c r="D121" s="363" t="s">
        <v>704</v>
      </c>
    </row>
    <row r="122" spans="3:4">
      <c r="C122">
        <v>112</v>
      </c>
      <c r="D122" s="903" t="s">
        <v>1227</v>
      </c>
    </row>
    <row r="123" spans="3:4">
      <c r="C123">
        <v>113</v>
      </c>
      <c r="D123" s="903" t="s">
        <v>1094</v>
      </c>
    </row>
    <row r="124" spans="3:4">
      <c r="C124">
        <v>114</v>
      </c>
      <c r="D124" s="363" t="s">
        <v>705</v>
      </c>
    </row>
    <row r="125" spans="3:4">
      <c r="C125">
        <v>115</v>
      </c>
      <c r="D125" s="364" t="s">
        <v>706</v>
      </c>
    </row>
    <row r="126" spans="3:4">
      <c r="C126">
        <v>116</v>
      </c>
      <c r="D126" s="363" t="s">
        <v>707</v>
      </c>
    </row>
    <row r="127" spans="3:4">
      <c r="C127">
        <v>117</v>
      </c>
      <c r="D127" s="363" t="s">
        <v>1566</v>
      </c>
    </row>
    <row r="128" spans="3:4">
      <c r="C128">
        <v>118</v>
      </c>
      <c r="D128" s="363" t="s">
        <v>708</v>
      </c>
    </row>
    <row r="129" spans="3:4">
      <c r="C129">
        <v>119</v>
      </c>
      <c r="D129" s="363" t="s">
        <v>709</v>
      </c>
    </row>
    <row r="130" spans="3:4">
      <c r="C130">
        <v>120</v>
      </c>
      <c r="D130" s="363" t="s">
        <v>710</v>
      </c>
    </row>
    <row r="131" spans="3:4">
      <c r="C131">
        <v>121</v>
      </c>
      <c r="D131" s="903" t="s">
        <v>1427</v>
      </c>
    </row>
    <row r="132" spans="3:4">
      <c r="C132">
        <v>122</v>
      </c>
      <c r="D132" s="903" t="s">
        <v>1428</v>
      </c>
    </row>
    <row r="133" spans="3:4">
      <c r="C133">
        <v>123</v>
      </c>
      <c r="D133" s="903" t="s">
        <v>1429</v>
      </c>
    </row>
    <row r="134" spans="3:4">
      <c r="C134">
        <v>124</v>
      </c>
      <c r="D134" s="903" t="s">
        <v>1430</v>
      </c>
    </row>
    <row r="135" spans="3:4">
      <c r="C135">
        <v>125</v>
      </c>
      <c r="D135" s="363" t="s">
        <v>711</v>
      </c>
    </row>
    <row r="136" spans="3:4">
      <c r="C136">
        <v>126</v>
      </c>
      <c r="D136" s="363" t="s">
        <v>712</v>
      </c>
    </row>
    <row r="137" spans="3:4">
      <c r="C137">
        <v>127</v>
      </c>
      <c r="D137" s="364" t="s">
        <v>713</v>
      </c>
    </row>
    <row r="138" spans="3:4">
      <c r="C138">
        <v>128</v>
      </c>
      <c r="D138" s="364" t="s">
        <v>714</v>
      </c>
    </row>
    <row r="139" spans="3:4">
      <c r="C139">
        <v>129</v>
      </c>
      <c r="D139" s="363" t="s">
        <v>715</v>
      </c>
    </row>
    <row r="140" spans="3:4">
      <c r="C140">
        <v>130</v>
      </c>
      <c r="D140" s="363" t="s">
        <v>716</v>
      </c>
    </row>
    <row r="141" spans="3:4">
      <c r="C141">
        <v>131</v>
      </c>
      <c r="D141" s="364" t="s">
        <v>717</v>
      </c>
    </row>
    <row r="142" spans="3:4">
      <c r="C142">
        <v>132</v>
      </c>
      <c r="D142" s="363" t="s">
        <v>718</v>
      </c>
    </row>
    <row r="143" spans="3:4">
      <c r="C143">
        <v>133</v>
      </c>
      <c r="D143" s="905" t="s">
        <v>1136</v>
      </c>
    </row>
    <row r="144" spans="3:4">
      <c r="C144">
        <v>134</v>
      </c>
      <c r="D144" s="363" t="s">
        <v>719</v>
      </c>
    </row>
    <row r="145" spans="3:4">
      <c r="C145">
        <v>135</v>
      </c>
      <c r="D145" s="363" t="s">
        <v>720</v>
      </c>
    </row>
    <row r="146" spans="3:4">
      <c r="C146">
        <v>136</v>
      </c>
      <c r="D146" s="363" t="s">
        <v>721</v>
      </c>
    </row>
    <row r="147" spans="3:4">
      <c r="C147">
        <v>137</v>
      </c>
      <c r="D147" s="363" t="s">
        <v>722</v>
      </c>
    </row>
    <row r="148" spans="3:4">
      <c r="C148">
        <v>138</v>
      </c>
      <c r="D148" s="363" t="s">
        <v>723</v>
      </c>
    </row>
    <row r="149" spans="3:4">
      <c r="C149">
        <v>139</v>
      </c>
      <c r="D149" s="363" t="s">
        <v>1465</v>
      </c>
    </row>
    <row r="150" spans="3:4">
      <c r="C150">
        <v>140</v>
      </c>
      <c r="D150" s="363" t="s">
        <v>725</v>
      </c>
    </row>
    <row r="151" spans="3:4">
      <c r="C151">
        <v>141</v>
      </c>
      <c r="D151" s="363" t="s">
        <v>726</v>
      </c>
    </row>
    <row r="152" spans="3:4">
      <c r="C152">
        <v>142</v>
      </c>
      <c r="D152" s="363" t="s">
        <v>727</v>
      </c>
    </row>
    <row r="153" spans="3:4">
      <c r="C153">
        <v>143</v>
      </c>
      <c r="D153" s="363" t="s">
        <v>728</v>
      </c>
    </row>
    <row r="154" spans="3:4">
      <c r="C154">
        <v>144</v>
      </c>
      <c r="D154" s="363" t="s">
        <v>729</v>
      </c>
    </row>
    <row r="155" spans="3:4">
      <c r="C155">
        <v>145</v>
      </c>
      <c r="D155" s="363" t="s">
        <v>1398</v>
      </c>
    </row>
    <row r="156" spans="3:4">
      <c r="C156">
        <v>146</v>
      </c>
      <c r="D156" s="364" t="s">
        <v>730</v>
      </c>
    </row>
    <row r="157" spans="3:4">
      <c r="C157">
        <v>147</v>
      </c>
      <c r="D157" s="363" t="s">
        <v>731</v>
      </c>
    </row>
    <row r="158" spans="3:4">
      <c r="C158">
        <v>148</v>
      </c>
      <c r="D158" s="363" t="s">
        <v>1107</v>
      </c>
    </row>
    <row r="159" spans="3:4">
      <c r="C159">
        <v>149</v>
      </c>
      <c r="D159" s="364" t="s">
        <v>1475</v>
      </c>
    </row>
    <row r="160" spans="3:4">
      <c r="C160">
        <v>150</v>
      </c>
      <c r="D160" s="363" t="s">
        <v>732</v>
      </c>
    </row>
    <row r="161" spans="3:4">
      <c r="C161">
        <v>151</v>
      </c>
      <c r="D161" s="363" t="s">
        <v>733</v>
      </c>
    </row>
    <row r="162" spans="3:4">
      <c r="C162">
        <v>152</v>
      </c>
      <c r="D162" s="363" t="s">
        <v>734</v>
      </c>
    </row>
    <row r="163" spans="3:4">
      <c r="C163">
        <v>153</v>
      </c>
      <c r="D163" s="364" t="s">
        <v>735</v>
      </c>
    </row>
    <row r="164" spans="3:4">
      <c r="C164">
        <v>154</v>
      </c>
      <c r="D164" s="363" t="s">
        <v>736</v>
      </c>
    </row>
    <row r="165" spans="3:4">
      <c r="C165">
        <v>155</v>
      </c>
      <c r="D165" s="363" t="s">
        <v>737</v>
      </c>
    </row>
    <row r="166" spans="3:4">
      <c r="C166">
        <v>156</v>
      </c>
      <c r="D166" s="363" t="s">
        <v>738</v>
      </c>
    </row>
    <row r="167" spans="3:4">
      <c r="C167">
        <v>157</v>
      </c>
      <c r="D167" s="363" t="s">
        <v>739</v>
      </c>
    </row>
    <row r="168" spans="3:4">
      <c r="C168">
        <v>158</v>
      </c>
      <c r="D168" s="363" t="s">
        <v>740</v>
      </c>
    </row>
    <row r="169" spans="3:4">
      <c r="C169">
        <v>159</v>
      </c>
      <c r="D169" s="364" t="s">
        <v>741</v>
      </c>
    </row>
    <row r="170" spans="3:4">
      <c r="C170">
        <v>160</v>
      </c>
      <c r="D170" s="364" t="s">
        <v>742</v>
      </c>
    </row>
    <row r="171" spans="3:4">
      <c r="C171">
        <v>161</v>
      </c>
      <c r="D171" s="364" t="s">
        <v>743</v>
      </c>
    </row>
    <row r="172" spans="3:4">
      <c r="C172">
        <v>162</v>
      </c>
      <c r="D172" s="364" t="s">
        <v>744</v>
      </c>
    </row>
    <row r="173" spans="3:4">
      <c r="C173">
        <v>163</v>
      </c>
      <c r="D173" s="364" t="s">
        <v>745</v>
      </c>
    </row>
    <row r="174" spans="3:4">
      <c r="C174">
        <v>164</v>
      </c>
      <c r="D174" s="76" t="s">
        <v>746</v>
      </c>
    </row>
    <row r="175" spans="3:4">
      <c r="C175">
        <v>165</v>
      </c>
      <c r="D175" s="76" t="s">
        <v>747</v>
      </c>
    </row>
    <row r="176" spans="3:4">
      <c r="C176">
        <v>166</v>
      </c>
      <c r="D176" s="76" t="s">
        <v>748</v>
      </c>
    </row>
    <row r="177" spans="3:4">
      <c r="C177">
        <v>167</v>
      </c>
      <c r="D177" s="76" t="s">
        <v>749</v>
      </c>
    </row>
    <row r="178" spans="3:4">
      <c r="C178">
        <v>168</v>
      </c>
      <c r="D178" s="76" t="s">
        <v>750</v>
      </c>
    </row>
    <row r="179" spans="3:4">
      <c r="C179">
        <v>169</v>
      </c>
      <c r="D179" s="364" t="s">
        <v>1311</v>
      </c>
    </row>
    <row r="180" spans="3:4">
      <c r="C180">
        <v>170</v>
      </c>
      <c r="D180" s="363" t="s">
        <v>751</v>
      </c>
    </row>
    <row r="181" spans="3:4">
      <c r="C181">
        <v>171</v>
      </c>
      <c r="D181" s="364" t="s">
        <v>752</v>
      </c>
    </row>
    <row r="182" spans="3:4">
      <c r="C182">
        <v>172</v>
      </c>
      <c r="D182" s="363" t="s">
        <v>753</v>
      </c>
    </row>
    <row r="183" spans="3:4">
      <c r="C183">
        <v>173</v>
      </c>
      <c r="D183" s="363" t="s">
        <v>754</v>
      </c>
    </row>
    <row r="184" spans="3:4">
      <c r="C184">
        <v>174</v>
      </c>
      <c r="D184" s="363" t="s">
        <v>1567</v>
      </c>
    </row>
    <row r="185" spans="3:4">
      <c r="C185">
        <v>175</v>
      </c>
      <c r="D185" s="363" t="s">
        <v>755</v>
      </c>
    </row>
    <row r="186" spans="3:4">
      <c r="C186">
        <v>176</v>
      </c>
      <c r="D186" s="364" t="s">
        <v>756</v>
      </c>
    </row>
    <row r="187" spans="3:4">
      <c r="C187">
        <v>177</v>
      </c>
      <c r="D187" s="364" t="s">
        <v>757</v>
      </c>
    </row>
    <row r="188" spans="3:4">
      <c r="C188">
        <v>178</v>
      </c>
      <c r="D188" s="364" t="s">
        <v>758</v>
      </c>
    </row>
    <row r="189" spans="3:4">
      <c r="C189">
        <v>179</v>
      </c>
      <c r="D189" s="364" t="s">
        <v>759</v>
      </c>
    </row>
    <row r="190" spans="3:4">
      <c r="C190">
        <v>180</v>
      </c>
      <c r="D190" s="364" t="s">
        <v>1477</v>
      </c>
    </row>
    <row r="191" spans="3:4">
      <c r="C191">
        <v>181</v>
      </c>
      <c r="D191" s="363" t="s">
        <v>760</v>
      </c>
    </row>
    <row r="192" spans="3:4">
      <c r="C192">
        <v>182</v>
      </c>
      <c r="D192" s="363" t="s">
        <v>761</v>
      </c>
    </row>
    <row r="193" spans="3:4">
      <c r="C193">
        <v>183</v>
      </c>
      <c r="D193" s="76" t="s">
        <v>762</v>
      </c>
    </row>
    <row r="194" spans="3:4">
      <c r="C194">
        <v>184</v>
      </c>
      <c r="D194" s="76" t="s">
        <v>763</v>
      </c>
    </row>
    <row r="195" spans="3:4">
      <c r="C195">
        <v>185</v>
      </c>
      <c r="D195" s="364" t="s">
        <v>764</v>
      </c>
    </row>
    <row r="196" spans="3:4">
      <c r="C196">
        <v>186</v>
      </c>
      <c r="D196" s="76" t="s">
        <v>765</v>
      </c>
    </row>
    <row r="197" spans="3:4">
      <c r="C197">
        <v>187</v>
      </c>
      <c r="D197" s="363" t="s">
        <v>766</v>
      </c>
    </row>
    <row r="198" spans="3:4">
      <c r="C198">
        <v>188</v>
      </c>
      <c r="D198" s="363" t="s">
        <v>767</v>
      </c>
    </row>
    <row r="199" spans="3:4">
      <c r="C199">
        <v>189</v>
      </c>
      <c r="D199" s="363" t="s">
        <v>768</v>
      </c>
    </row>
    <row r="200" spans="3:4">
      <c r="C200">
        <v>190</v>
      </c>
      <c r="D200" s="363" t="s">
        <v>769</v>
      </c>
    </row>
    <row r="201" spans="3:4">
      <c r="C201">
        <v>191</v>
      </c>
      <c r="D201" s="363" t="s">
        <v>770</v>
      </c>
    </row>
    <row r="202" spans="3:4">
      <c r="C202">
        <v>192</v>
      </c>
      <c r="D202" s="76" t="s">
        <v>771</v>
      </c>
    </row>
    <row r="203" spans="3:4">
      <c r="C203">
        <v>193</v>
      </c>
      <c r="D203" s="363" t="s">
        <v>772</v>
      </c>
    </row>
    <row r="204" spans="3:4">
      <c r="C204">
        <v>194</v>
      </c>
      <c r="D204" s="363" t="s">
        <v>773</v>
      </c>
    </row>
    <row r="205" spans="3:4">
      <c r="C205">
        <v>195</v>
      </c>
      <c r="D205" s="364" t="s">
        <v>774</v>
      </c>
    </row>
    <row r="206" spans="3:4">
      <c r="C206">
        <v>196</v>
      </c>
      <c r="D206" s="364" t="s">
        <v>1246</v>
      </c>
    </row>
    <row r="207" spans="3:4">
      <c r="C207">
        <v>197</v>
      </c>
      <c r="D207" s="76" t="s">
        <v>1247</v>
      </c>
    </row>
    <row r="208" spans="3:4">
      <c r="C208">
        <v>198</v>
      </c>
      <c r="D208" s="363" t="s">
        <v>1523</v>
      </c>
    </row>
    <row r="209" spans="3:4">
      <c r="C209">
        <v>199</v>
      </c>
      <c r="D209" s="363" t="s">
        <v>775</v>
      </c>
    </row>
    <row r="210" spans="3:4">
      <c r="C210">
        <v>200</v>
      </c>
      <c r="D210" s="363" t="s">
        <v>776</v>
      </c>
    </row>
    <row r="211" spans="3:4">
      <c r="C211">
        <v>201</v>
      </c>
      <c r="D211" s="363" t="s">
        <v>777</v>
      </c>
    </row>
    <row r="212" spans="3:4">
      <c r="C212">
        <v>202</v>
      </c>
      <c r="D212" s="364" t="s">
        <v>778</v>
      </c>
    </row>
    <row r="213" spans="3:4">
      <c r="C213">
        <v>203</v>
      </c>
      <c r="D213" s="364" t="s">
        <v>779</v>
      </c>
    </row>
    <row r="214" spans="3:4">
      <c r="C214">
        <v>204</v>
      </c>
      <c r="D214" s="364" t="s">
        <v>780</v>
      </c>
    </row>
    <row r="215" spans="3:4">
      <c r="C215">
        <v>205</v>
      </c>
      <c r="D215" s="364" t="s">
        <v>1489</v>
      </c>
    </row>
    <row r="216" spans="3:4">
      <c r="C216">
        <v>206</v>
      </c>
      <c r="D216" s="364" t="s">
        <v>781</v>
      </c>
    </row>
    <row r="217" spans="3:4">
      <c r="C217">
        <v>207</v>
      </c>
      <c r="D217" s="364" t="s">
        <v>782</v>
      </c>
    </row>
    <row r="218" spans="3:4">
      <c r="C218">
        <v>208</v>
      </c>
      <c r="D218" s="903" t="s">
        <v>1535</v>
      </c>
    </row>
    <row r="219" spans="3:4">
      <c r="C219">
        <v>209</v>
      </c>
      <c r="D219" s="364" t="s">
        <v>1412</v>
      </c>
    </row>
    <row r="220" spans="3:4">
      <c r="C220">
        <v>210</v>
      </c>
      <c r="D220" s="364" t="s">
        <v>783</v>
      </c>
    </row>
    <row r="221" spans="3:4">
      <c r="C221">
        <v>211</v>
      </c>
      <c r="D221" s="364" t="s">
        <v>784</v>
      </c>
    </row>
    <row r="222" spans="3:4">
      <c r="C222">
        <v>212</v>
      </c>
      <c r="D222" s="364" t="s">
        <v>785</v>
      </c>
    </row>
    <row r="223" spans="3:4">
      <c r="C223">
        <v>213</v>
      </c>
      <c r="D223" s="364" t="s">
        <v>786</v>
      </c>
    </row>
    <row r="224" spans="3:4">
      <c r="C224">
        <v>214</v>
      </c>
      <c r="D224" s="364" t="s">
        <v>787</v>
      </c>
    </row>
    <row r="225" spans="3:4">
      <c r="C225">
        <v>215</v>
      </c>
      <c r="D225" s="364" t="s">
        <v>788</v>
      </c>
    </row>
    <row r="226" spans="3:4">
      <c r="C226">
        <v>216</v>
      </c>
      <c r="D226" s="364" t="s">
        <v>789</v>
      </c>
    </row>
    <row r="227" spans="3:4">
      <c r="C227">
        <v>217</v>
      </c>
      <c r="D227" s="363" t="s">
        <v>790</v>
      </c>
    </row>
    <row r="228" spans="3:4">
      <c r="C228">
        <v>218</v>
      </c>
      <c r="D228" s="363" t="s">
        <v>791</v>
      </c>
    </row>
    <row r="229" spans="3:4">
      <c r="C229">
        <v>219</v>
      </c>
      <c r="D229" s="363" t="s">
        <v>1121</v>
      </c>
    </row>
    <row r="230" spans="3:4">
      <c r="C230">
        <v>220</v>
      </c>
      <c r="D230" s="363" t="s">
        <v>792</v>
      </c>
    </row>
    <row r="231" spans="3:4">
      <c r="C231">
        <v>221</v>
      </c>
      <c r="D231" s="364" t="s">
        <v>1120</v>
      </c>
    </row>
    <row r="232" spans="3:4">
      <c r="C232">
        <v>222</v>
      </c>
      <c r="D232" s="363" t="s">
        <v>793</v>
      </c>
    </row>
    <row r="233" spans="3:4">
      <c r="C233">
        <v>223</v>
      </c>
      <c r="D233" s="363" t="s">
        <v>794</v>
      </c>
    </row>
    <row r="234" spans="3:4">
      <c r="C234">
        <v>224</v>
      </c>
      <c r="D234" s="363" t="s">
        <v>795</v>
      </c>
    </row>
    <row r="235" spans="3:4">
      <c r="C235">
        <v>225</v>
      </c>
      <c r="D235" s="363" t="s">
        <v>796</v>
      </c>
    </row>
    <row r="236" spans="3:4">
      <c r="C236">
        <v>226</v>
      </c>
      <c r="D236" s="76" t="s">
        <v>1027</v>
      </c>
    </row>
    <row r="237" spans="3:4">
      <c r="C237">
        <v>227</v>
      </c>
      <c r="D237" s="363" t="s">
        <v>1563</v>
      </c>
    </row>
    <row r="238" spans="3:4">
      <c r="C238">
        <v>228</v>
      </c>
      <c r="D238" s="363" t="s">
        <v>724</v>
      </c>
    </row>
    <row r="239" spans="3:4">
      <c r="C239">
        <v>229</v>
      </c>
      <c r="D239" s="363" t="s">
        <v>798</v>
      </c>
    </row>
    <row r="240" spans="3:4">
      <c r="C240">
        <v>230</v>
      </c>
      <c r="D240" s="363" t="s">
        <v>1045</v>
      </c>
    </row>
    <row r="241" spans="3:4">
      <c r="C241">
        <v>231</v>
      </c>
      <c r="D241" s="363" t="s">
        <v>799</v>
      </c>
    </row>
    <row r="242" spans="3:4">
      <c r="C242">
        <v>232</v>
      </c>
      <c r="D242" s="363" t="s">
        <v>800</v>
      </c>
    </row>
    <row r="243" spans="3:4">
      <c r="C243">
        <v>233</v>
      </c>
      <c r="D243" s="363" t="s">
        <v>801</v>
      </c>
    </row>
    <row r="244" spans="3:4">
      <c r="C244">
        <v>234</v>
      </c>
      <c r="D244" s="363" t="s">
        <v>1046</v>
      </c>
    </row>
    <row r="245" spans="3:4">
      <c r="C245">
        <v>235</v>
      </c>
      <c r="D245" s="363" t="s">
        <v>802</v>
      </c>
    </row>
    <row r="246" spans="3:4">
      <c r="C246">
        <v>236</v>
      </c>
      <c r="D246" s="363" t="s">
        <v>803</v>
      </c>
    </row>
    <row r="247" spans="3:4">
      <c r="C247">
        <v>237</v>
      </c>
      <c r="D247" s="363" t="s">
        <v>804</v>
      </c>
    </row>
    <row r="248" spans="3:4">
      <c r="C248">
        <v>238</v>
      </c>
      <c r="D248" s="363" t="s">
        <v>805</v>
      </c>
    </row>
    <row r="249" spans="3:4">
      <c r="C249">
        <v>239</v>
      </c>
      <c r="D249" s="363" t="s">
        <v>1268</v>
      </c>
    </row>
    <row r="250" spans="3:4">
      <c r="C250">
        <v>240</v>
      </c>
      <c r="D250" s="363" t="s">
        <v>806</v>
      </c>
    </row>
    <row r="251" spans="3:4">
      <c r="C251">
        <v>241</v>
      </c>
      <c r="D251" s="363" t="s">
        <v>1592</v>
      </c>
    </row>
    <row r="252" spans="3:4" ht="13.25">
      <c r="C252">
        <v>242</v>
      </c>
      <c r="D252" s="906" t="s">
        <v>1216</v>
      </c>
    </row>
    <row r="253" spans="3:4">
      <c r="C253">
        <v>243</v>
      </c>
      <c r="D253" s="364" t="s">
        <v>807</v>
      </c>
    </row>
    <row r="254" spans="3:4">
      <c r="C254">
        <v>244</v>
      </c>
      <c r="D254" s="363" t="s">
        <v>1053</v>
      </c>
    </row>
    <row r="255" spans="3:4">
      <c r="C255">
        <v>245</v>
      </c>
      <c r="D255" s="363" t="s">
        <v>809</v>
      </c>
    </row>
    <row r="256" spans="3:4">
      <c r="C256">
        <v>246</v>
      </c>
      <c r="D256" s="363" t="s">
        <v>808</v>
      </c>
    </row>
    <row r="257" spans="3:4">
      <c r="C257">
        <v>247</v>
      </c>
      <c r="D257" s="364" t="s">
        <v>810</v>
      </c>
    </row>
    <row r="258" spans="3:4">
      <c r="C258">
        <v>248</v>
      </c>
      <c r="D258" s="363" t="s">
        <v>1017</v>
      </c>
    </row>
    <row r="259" spans="3:4">
      <c r="C259">
        <v>249</v>
      </c>
      <c r="D259" s="363" t="s">
        <v>1403</v>
      </c>
    </row>
    <row r="260" spans="3:4">
      <c r="C260">
        <v>250</v>
      </c>
      <c r="D260" s="363" t="s">
        <v>811</v>
      </c>
    </row>
    <row r="261" spans="3:4">
      <c r="C261">
        <v>251</v>
      </c>
      <c r="D261" s="363" t="s">
        <v>812</v>
      </c>
    </row>
    <row r="262" spans="3:4">
      <c r="C262">
        <v>252</v>
      </c>
      <c r="D262" s="363" t="s">
        <v>813</v>
      </c>
    </row>
    <row r="263" spans="3:4">
      <c r="C263">
        <v>253</v>
      </c>
      <c r="D263" s="363" t="s">
        <v>814</v>
      </c>
    </row>
    <row r="264" spans="3:4">
      <c r="C264">
        <v>254</v>
      </c>
      <c r="D264" s="363" t="s">
        <v>815</v>
      </c>
    </row>
    <row r="265" spans="3:4">
      <c r="C265">
        <v>255</v>
      </c>
      <c r="D265" s="363" t="s">
        <v>816</v>
      </c>
    </row>
    <row r="266" spans="3:4">
      <c r="C266">
        <v>256</v>
      </c>
      <c r="D266" s="363" t="s">
        <v>817</v>
      </c>
    </row>
    <row r="267" spans="3:4">
      <c r="C267">
        <v>257</v>
      </c>
      <c r="D267" s="363" t="s">
        <v>818</v>
      </c>
    </row>
    <row r="268" spans="3:4">
      <c r="C268">
        <v>258</v>
      </c>
      <c r="D268" s="363" t="s">
        <v>819</v>
      </c>
    </row>
    <row r="269" spans="3:4">
      <c r="C269">
        <v>259</v>
      </c>
      <c r="D269" s="363" t="s">
        <v>820</v>
      </c>
    </row>
    <row r="270" spans="3:4">
      <c r="C270">
        <v>260</v>
      </c>
      <c r="D270" s="363" t="s">
        <v>821</v>
      </c>
    </row>
    <row r="271" spans="3:4">
      <c r="C271">
        <v>261</v>
      </c>
      <c r="D271" s="903" t="s">
        <v>1328</v>
      </c>
    </row>
    <row r="272" spans="3:4">
      <c r="C272">
        <v>262</v>
      </c>
      <c r="D272" s="363" t="s">
        <v>822</v>
      </c>
    </row>
    <row r="273" spans="3:4">
      <c r="C273">
        <v>263</v>
      </c>
      <c r="D273" s="76" t="s">
        <v>823</v>
      </c>
    </row>
    <row r="274" spans="3:4">
      <c r="C274">
        <v>264</v>
      </c>
      <c r="D274" s="76" t="s">
        <v>824</v>
      </c>
    </row>
    <row r="275" spans="3:4">
      <c r="C275">
        <v>265</v>
      </c>
      <c r="D275" s="363" t="s">
        <v>825</v>
      </c>
    </row>
    <row r="276" spans="3:4">
      <c r="C276">
        <v>266</v>
      </c>
      <c r="D276" s="363" t="s">
        <v>826</v>
      </c>
    </row>
    <row r="277" spans="3:4">
      <c r="C277">
        <v>267</v>
      </c>
      <c r="D277" s="363" t="s">
        <v>827</v>
      </c>
    </row>
    <row r="278" spans="3:4">
      <c r="C278">
        <v>268</v>
      </c>
      <c r="D278" s="363" t="s">
        <v>828</v>
      </c>
    </row>
    <row r="279" spans="3:4">
      <c r="C279">
        <v>269</v>
      </c>
      <c r="D279" s="363" t="s">
        <v>829</v>
      </c>
    </row>
    <row r="280" spans="3:4">
      <c r="C280">
        <v>270</v>
      </c>
      <c r="D280" s="364" t="s">
        <v>830</v>
      </c>
    </row>
    <row r="281" spans="3:4">
      <c r="C281">
        <v>271</v>
      </c>
      <c r="D281" s="364" t="s">
        <v>831</v>
      </c>
    </row>
    <row r="282" spans="3:4">
      <c r="C282">
        <v>272</v>
      </c>
      <c r="D282" s="364" t="s">
        <v>832</v>
      </c>
    </row>
    <row r="283" spans="3:4">
      <c r="C283">
        <v>273</v>
      </c>
      <c r="D283" s="364" t="s">
        <v>833</v>
      </c>
    </row>
    <row r="284" spans="3:4">
      <c r="C284">
        <v>274</v>
      </c>
      <c r="D284" s="364" t="s">
        <v>1470</v>
      </c>
    </row>
    <row r="285" spans="3:4">
      <c r="C285">
        <v>275</v>
      </c>
      <c r="D285" s="364" t="s">
        <v>834</v>
      </c>
    </row>
    <row r="286" spans="3:4">
      <c r="C286">
        <v>276</v>
      </c>
      <c r="D286" s="364" t="s">
        <v>835</v>
      </c>
    </row>
    <row r="287" spans="3:4">
      <c r="C287">
        <v>277</v>
      </c>
      <c r="D287" s="364" t="s">
        <v>836</v>
      </c>
    </row>
    <row r="288" spans="3:4">
      <c r="C288">
        <v>278</v>
      </c>
      <c r="D288" s="364" t="s">
        <v>837</v>
      </c>
    </row>
    <row r="289" spans="3:4">
      <c r="C289">
        <v>279</v>
      </c>
      <c r="D289" s="364" t="s">
        <v>1565</v>
      </c>
    </row>
    <row r="290" spans="3:4">
      <c r="C290">
        <v>280</v>
      </c>
      <c r="D290" s="363" t="s">
        <v>838</v>
      </c>
    </row>
    <row r="291" spans="3:4">
      <c r="C291">
        <v>281</v>
      </c>
      <c r="D291" s="363" t="s">
        <v>839</v>
      </c>
    </row>
    <row r="292" spans="3:4">
      <c r="C292">
        <v>282</v>
      </c>
      <c r="D292" s="363" t="s">
        <v>840</v>
      </c>
    </row>
    <row r="293" spans="3:4">
      <c r="C293">
        <v>283</v>
      </c>
      <c r="D293" s="363" t="s">
        <v>841</v>
      </c>
    </row>
    <row r="294" spans="3:4">
      <c r="C294">
        <v>284</v>
      </c>
      <c r="D294" s="907" t="s">
        <v>1524</v>
      </c>
    </row>
    <row r="295" spans="3:4">
      <c r="C295">
        <v>285</v>
      </c>
      <c r="D295" s="363" t="s">
        <v>842</v>
      </c>
    </row>
    <row r="296" spans="3:4">
      <c r="C296">
        <v>286</v>
      </c>
      <c r="D296" s="363" t="s">
        <v>380</v>
      </c>
    </row>
    <row r="297" spans="3:4">
      <c r="C297">
        <v>287</v>
      </c>
      <c r="D297" s="363" t="s">
        <v>843</v>
      </c>
    </row>
    <row r="298" spans="3:4">
      <c r="C298">
        <v>288</v>
      </c>
      <c r="D298" s="363" t="s">
        <v>1414</v>
      </c>
    </row>
    <row r="299" spans="3:4">
      <c r="C299">
        <v>289</v>
      </c>
      <c r="D299" s="363" t="s">
        <v>845</v>
      </c>
    </row>
    <row r="300" spans="3:4">
      <c r="C300">
        <v>290</v>
      </c>
      <c r="D300" s="363" t="s">
        <v>1481</v>
      </c>
    </row>
    <row r="301" spans="3:4">
      <c r="C301">
        <v>291</v>
      </c>
      <c r="D301" s="363" t="s">
        <v>846</v>
      </c>
    </row>
    <row r="302" spans="3:4">
      <c r="C302">
        <v>292</v>
      </c>
      <c r="D302" s="363" t="s">
        <v>847</v>
      </c>
    </row>
    <row r="303" spans="3:4">
      <c r="C303">
        <v>293</v>
      </c>
      <c r="D303" s="363" t="s">
        <v>848</v>
      </c>
    </row>
    <row r="304" spans="3:4">
      <c r="C304">
        <v>294</v>
      </c>
      <c r="D304" s="364" t="s">
        <v>849</v>
      </c>
    </row>
    <row r="305" spans="3:4">
      <c r="C305">
        <v>295</v>
      </c>
      <c r="D305" s="364" t="s">
        <v>850</v>
      </c>
    </row>
    <row r="306" spans="3:4">
      <c r="C306">
        <v>296</v>
      </c>
      <c r="D306" s="363" t="s">
        <v>851</v>
      </c>
    </row>
    <row r="307" spans="3:4">
      <c r="C307">
        <v>297</v>
      </c>
      <c r="D307" s="363" t="s">
        <v>852</v>
      </c>
    </row>
    <row r="308" spans="3:4">
      <c r="C308">
        <v>298</v>
      </c>
      <c r="D308" s="363" t="s">
        <v>853</v>
      </c>
    </row>
    <row r="309" spans="3:4">
      <c r="C309">
        <v>299</v>
      </c>
      <c r="D309" s="363" t="s">
        <v>854</v>
      </c>
    </row>
    <row r="310" spans="3:4">
      <c r="C310">
        <v>300</v>
      </c>
      <c r="D310" t="s">
        <v>1393</v>
      </c>
    </row>
    <row r="311" spans="3:4">
      <c r="C311">
        <v>301</v>
      </c>
      <c r="D311" s="363" t="s">
        <v>855</v>
      </c>
    </row>
    <row r="312" spans="3:4">
      <c r="C312">
        <v>302</v>
      </c>
      <c r="D312" s="364" t="s">
        <v>856</v>
      </c>
    </row>
    <row r="313" spans="3:4">
      <c r="C313">
        <v>303</v>
      </c>
      <c r="D313" s="364" t="s">
        <v>857</v>
      </c>
    </row>
    <row r="314" spans="3:4">
      <c r="C314">
        <v>304</v>
      </c>
      <c r="D314" s="364" t="s">
        <v>858</v>
      </c>
    </row>
    <row r="315" spans="3:4">
      <c r="C315">
        <v>305</v>
      </c>
      <c r="D315" s="364" t="s">
        <v>859</v>
      </c>
    </row>
    <row r="316" spans="3:4">
      <c r="C316">
        <v>306</v>
      </c>
      <c r="D316" s="364" t="s">
        <v>860</v>
      </c>
    </row>
    <row r="317" spans="3:4">
      <c r="C317">
        <v>307</v>
      </c>
      <c r="D317" s="364" t="s">
        <v>861</v>
      </c>
    </row>
    <row r="318" spans="3:4">
      <c r="C318">
        <v>308</v>
      </c>
      <c r="D318" s="363" t="s">
        <v>862</v>
      </c>
    </row>
    <row r="319" spans="3:4">
      <c r="C319">
        <v>309</v>
      </c>
      <c r="D319" s="363" t="s">
        <v>863</v>
      </c>
    </row>
    <row r="320" spans="3:4">
      <c r="C320">
        <v>310</v>
      </c>
      <c r="D320" s="363" t="s">
        <v>864</v>
      </c>
    </row>
    <row r="321" spans="3:4">
      <c r="C321">
        <v>311</v>
      </c>
      <c r="D321" s="363" t="s">
        <v>1230</v>
      </c>
    </row>
    <row r="322" spans="3:4">
      <c r="C322">
        <v>312</v>
      </c>
      <c r="D322" s="364" t="s">
        <v>865</v>
      </c>
    </row>
    <row r="323" spans="3:4">
      <c r="C323">
        <v>313</v>
      </c>
      <c r="D323" s="903" t="s">
        <v>1228</v>
      </c>
    </row>
    <row r="324" spans="3:4">
      <c r="C324">
        <v>314</v>
      </c>
      <c r="D324" s="364" t="s">
        <v>866</v>
      </c>
    </row>
    <row r="325" spans="3:4">
      <c r="C325">
        <v>315</v>
      </c>
      <c r="D325" s="364" t="s">
        <v>867</v>
      </c>
    </row>
    <row r="326" spans="3:4">
      <c r="C326">
        <v>316</v>
      </c>
      <c r="D326" s="363" t="s">
        <v>868</v>
      </c>
    </row>
    <row r="327" spans="3:4">
      <c r="C327">
        <v>317</v>
      </c>
      <c r="D327" s="363" t="s">
        <v>869</v>
      </c>
    </row>
    <row r="328" spans="3:4">
      <c r="C328">
        <v>318</v>
      </c>
      <c r="D328" s="363" t="s">
        <v>870</v>
      </c>
    </row>
    <row r="329" spans="3:4">
      <c r="C329">
        <v>319</v>
      </c>
      <c r="D329" s="363" t="s">
        <v>871</v>
      </c>
    </row>
    <row r="330" spans="3:4">
      <c r="C330">
        <v>320</v>
      </c>
      <c r="D330" s="363" t="s">
        <v>872</v>
      </c>
    </row>
    <row r="331" spans="3:4">
      <c r="C331">
        <v>321</v>
      </c>
      <c r="D331" s="363" t="s">
        <v>873</v>
      </c>
    </row>
    <row r="332" spans="3:4">
      <c r="C332">
        <v>322</v>
      </c>
      <c r="D332" s="903" t="s">
        <v>1330</v>
      </c>
    </row>
    <row r="333" spans="3:4">
      <c r="C333">
        <v>323</v>
      </c>
      <c r="D333" s="363" t="s">
        <v>874</v>
      </c>
    </row>
    <row r="334" spans="3:4">
      <c r="C334">
        <v>324</v>
      </c>
      <c r="D334" s="364" t="s">
        <v>875</v>
      </c>
    </row>
    <row r="335" spans="3:4">
      <c r="C335">
        <v>325</v>
      </c>
      <c r="D335" s="908" t="s">
        <v>876</v>
      </c>
    </row>
    <row r="336" spans="3:4">
      <c r="C336">
        <v>326</v>
      </c>
      <c r="D336" s="363" t="s">
        <v>877</v>
      </c>
    </row>
    <row r="337" spans="3:4">
      <c r="C337">
        <v>327</v>
      </c>
      <c r="D337" s="364" t="s">
        <v>878</v>
      </c>
    </row>
    <row r="338" spans="3:4">
      <c r="C338">
        <v>328</v>
      </c>
      <c r="D338" s="363" t="s">
        <v>879</v>
      </c>
    </row>
    <row r="339" spans="3:4">
      <c r="C339">
        <v>329</v>
      </c>
      <c r="D339" s="363" t="s">
        <v>880</v>
      </c>
    </row>
    <row r="340" spans="3:4">
      <c r="C340">
        <v>330</v>
      </c>
      <c r="D340" s="363" t="s">
        <v>881</v>
      </c>
    </row>
    <row r="341" spans="3:4">
      <c r="C341">
        <v>331</v>
      </c>
      <c r="D341" s="363" t="s">
        <v>882</v>
      </c>
    </row>
    <row r="342" spans="3:4">
      <c r="C342">
        <v>332</v>
      </c>
      <c r="D342" s="363" t="s">
        <v>1325</v>
      </c>
    </row>
    <row r="343" spans="3:4">
      <c r="C343">
        <v>333</v>
      </c>
      <c r="D343" s="363" t="s">
        <v>883</v>
      </c>
    </row>
    <row r="344" spans="3:4">
      <c r="C344">
        <v>334</v>
      </c>
      <c r="D344" s="363" t="s">
        <v>873</v>
      </c>
    </row>
    <row r="345" spans="3:4">
      <c r="C345">
        <v>335</v>
      </c>
      <c r="D345" s="363" t="s">
        <v>1431</v>
      </c>
    </row>
    <row r="346" spans="3:4">
      <c r="C346">
        <v>336</v>
      </c>
      <c r="D346" s="363" t="s">
        <v>884</v>
      </c>
    </row>
    <row r="347" spans="3:4">
      <c r="C347">
        <v>337</v>
      </c>
      <c r="D347" s="363" t="s">
        <v>885</v>
      </c>
    </row>
    <row r="348" spans="3:4">
      <c r="C348">
        <v>338</v>
      </c>
      <c r="D348" s="363" t="s">
        <v>886</v>
      </c>
    </row>
    <row r="349" spans="3:4">
      <c r="C349">
        <v>339</v>
      </c>
      <c r="D349" s="363" t="s">
        <v>887</v>
      </c>
    </row>
    <row r="350" spans="3:4">
      <c r="C350">
        <v>340</v>
      </c>
      <c r="D350" s="363" t="s">
        <v>888</v>
      </c>
    </row>
    <row r="351" spans="3:4">
      <c r="C351">
        <v>341</v>
      </c>
      <c r="D351" s="363" t="s">
        <v>889</v>
      </c>
    </row>
    <row r="352" spans="3:4">
      <c r="C352">
        <v>342</v>
      </c>
      <c r="D352" s="363" t="s">
        <v>890</v>
      </c>
    </row>
    <row r="353" spans="3:4">
      <c r="C353">
        <v>343</v>
      </c>
      <c r="D353" s="363" t="s">
        <v>891</v>
      </c>
    </row>
    <row r="354" spans="3:4">
      <c r="C354">
        <v>344</v>
      </c>
      <c r="D354" s="363" t="s">
        <v>892</v>
      </c>
    </row>
    <row r="355" spans="3:4">
      <c r="C355">
        <v>345</v>
      </c>
      <c r="D355" s="363" t="s">
        <v>893</v>
      </c>
    </row>
    <row r="356" spans="3:4">
      <c r="C356">
        <v>346</v>
      </c>
      <c r="D356" s="363" t="s">
        <v>894</v>
      </c>
    </row>
    <row r="357" spans="3:4">
      <c r="C357">
        <v>347</v>
      </c>
      <c r="D357" s="363" t="s">
        <v>895</v>
      </c>
    </row>
    <row r="358" spans="3:4">
      <c r="C358">
        <v>348</v>
      </c>
      <c r="D358" s="364" t="s">
        <v>896</v>
      </c>
    </row>
    <row r="359" spans="3:4">
      <c r="C359">
        <v>349</v>
      </c>
      <c r="D359" s="363" t="s">
        <v>897</v>
      </c>
    </row>
    <row r="360" spans="3:4">
      <c r="C360">
        <v>350</v>
      </c>
      <c r="D360" s="363" t="s">
        <v>898</v>
      </c>
    </row>
    <row r="361" spans="3:4">
      <c r="C361">
        <v>351</v>
      </c>
      <c r="D361" s="363" t="s">
        <v>899</v>
      </c>
    </row>
    <row r="362" spans="3:4">
      <c r="C362">
        <v>352</v>
      </c>
      <c r="D362" s="363" t="s">
        <v>900</v>
      </c>
    </row>
    <row r="363" spans="3:4">
      <c r="C363">
        <v>353</v>
      </c>
      <c r="D363" s="363" t="s">
        <v>901</v>
      </c>
    </row>
    <row r="364" spans="3:4">
      <c r="C364">
        <v>354</v>
      </c>
      <c r="D364" s="364" t="s">
        <v>902</v>
      </c>
    </row>
    <row r="365" spans="3:4">
      <c r="C365">
        <v>355</v>
      </c>
      <c r="D365" s="363" t="s">
        <v>903</v>
      </c>
    </row>
    <row r="366" spans="3:4">
      <c r="C366">
        <v>356</v>
      </c>
      <c r="D366" s="363" t="s">
        <v>1251</v>
      </c>
    </row>
    <row r="367" spans="3:4">
      <c r="C367">
        <v>357</v>
      </c>
      <c r="D367" s="363" t="s">
        <v>1252</v>
      </c>
    </row>
    <row r="368" spans="3:4">
      <c r="C368">
        <v>358</v>
      </c>
      <c r="D368" s="363" t="s">
        <v>1253</v>
      </c>
    </row>
    <row r="369" spans="3:4">
      <c r="C369">
        <v>359</v>
      </c>
      <c r="D369" s="363" t="s">
        <v>904</v>
      </c>
    </row>
    <row r="370" spans="3:4">
      <c r="C370">
        <v>360</v>
      </c>
      <c r="D370" s="363" t="s">
        <v>905</v>
      </c>
    </row>
    <row r="371" spans="3:4">
      <c r="C371">
        <v>361</v>
      </c>
      <c r="D371" s="363" t="s">
        <v>906</v>
      </c>
    </row>
    <row r="372" spans="3:4">
      <c r="C372">
        <v>362</v>
      </c>
      <c r="D372" s="76" t="s">
        <v>907</v>
      </c>
    </row>
    <row r="373" spans="3:4">
      <c r="C373">
        <v>363</v>
      </c>
      <c r="D373" s="363" t="s">
        <v>908</v>
      </c>
    </row>
    <row r="374" spans="3:4">
      <c r="C374">
        <v>364</v>
      </c>
      <c r="D374" s="363" t="s">
        <v>909</v>
      </c>
    </row>
    <row r="375" spans="3:4">
      <c r="C375">
        <v>365</v>
      </c>
      <c r="D375" s="363" t="s">
        <v>910</v>
      </c>
    </row>
    <row r="376" spans="3:4" ht="13.25">
      <c r="C376">
        <v>366</v>
      </c>
      <c r="D376" s="909" t="s">
        <v>1217</v>
      </c>
    </row>
    <row r="377" spans="3:4">
      <c r="C377">
        <v>367</v>
      </c>
      <c r="D377" s="363" t="s">
        <v>911</v>
      </c>
    </row>
    <row r="378" spans="3:4">
      <c r="C378">
        <v>368</v>
      </c>
      <c r="D378" s="363" t="s">
        <v>912</v>
      </c>
    </row>
    <row r="379" spans="3:4">
      <c r="C379">
        <v>369</v>
      </c>
      <c r="D379" s="363" t="s">
        <v>913</v>
      </c>
    </row>
    <row r="380" spans="3:4">
      <c r="C380">
        <v>370</v>
      </c>
      <c r="D380" s="363" t="s">
        <v>914</v>
      </c>
    </row>
    <row r="381" spans="3:4">
      <c r="C381">
        <v>371</v>
      </c>
      <c r="D381" s="363" t="s">
        <v>868</v>
      </c>
    </row>
    <row r="382" spans="3:4">
      <c r="C382">
        <v>372</v>
      </c>
      <c r="D382" s="364" t="s">
        <v>915</v>
      </c>
    </row>
    <row r="383" spans="3:4">
      <c r="C383">
        <v>373</v>
      </c>
      <c r="D383" s="363" t="s">
        <v>916</v>
      </c>
    </row>
    <row r="384" spans="3:4">
      <c r="C384">
        <v>374</v>
      </c>
      <c r="D384" s="363" t="s">
        <v>917</v>
      </c>
    </row>
    <row r="385" spans="3:4">
      <c r="C385">
        <v>375</v>
      </c>
      <c r="D385" s="363" t="s">
        <v>918</v>
      </c>
    </row>
    <row r="386" spans="3:4">
      <c r="C386">
        <v>376</v>
      </c>
      <c r="D386" s="363" t="s">
        <v>919</v>
      </c>
    </row>
    <row r="387" spans="3:4">
      <c r="C387">
        <v>377</v>
      </c>
      <c r="D387" s="363" t="s">
        <v>920</v>
      </c>
    </row>
    <row r="388" spans="3:4">
      <c r="C388">
        <v>378</v>
      </c>
      <c r="D388" s="363" t="s">
        <v>921</v>
      </c>
    </row>
    <row r="389" spans="3:4">
      <c r="C389">
        <v>379</v>
      </c>
      <c r="D389" s="363" t="s">
        <v>922</v>
      </c>
    </row>
    <row r="390" spans="3:4">
      <c r="C390">
        <v>380</v>
      </c>
      <c r="D390" s="363" t="s">
        <v>923</v>
      </c>
    </row>
    <row r="391" spans="3:4">
      <c r="C391">
        <v>381</v>
      </c>
      <c r="D391" s="363" t="s">
        <v>924</v>
      </c>
    </row>
    <row r="392" spans="3:4">
      <c r="C392">
        <v>382</v>
      </c>
      <c r="D392" s="76" t="s">
        <v>925</v>
      </c>
    </row>
    <row r="393" spans="3:4">
      <c r="C393">
        <v>383</v>
      </c>
      <c r="D393" s="363" t="s">
        <v>926</v>
      </c>
    </row>
    <row r="394" spans="3:4">
      <c r="C394">
        <v>384</v>
      </c>
      <c r="D394" s="364" t="s">
        <v>927</v>
      </c>
    </row>
    <row r="395" spans="3:4">
      <c r="C395">
        <v>385</v>
      </c>
      <c r="D395" s="364" t="s">
        <v>631</v>
      </c>
    </row>
    <row r="396" spans="3:4">
      <c r="C396">
        <v>386</v>
      </c>
      <c r="D396" s="363" t="s">
        <v>928</v>
      </c>
    </row>
    <row r="397" spans="3:4">
      <c r="C397">
        <v>387</v>
      </c>
      <c r="D397" s="363" t="s">
        <v>929</v>
      </c>
    </row>
    <row r="398" spans="3:4">
      <c r="C398">
        <v>388</v>
      </c>
      <c r="D398" s="363" t="s">
        <v>930</v>
      </c>
    </row>
    <row r="399" spans="3:4">
      <c r="C399">
        <v>389</v>
      </c>
      <c r="D399" s="363" t="s">
        <v>931</v>
      </c>
    </row>
    <row r="400" spans="3:4">
      <c r="C400">
        <v>390</v>
      </c>
      <c r="D400" s="363" t="s">
        <v>932</v>
      </c>
    </row>
    <row r="401" spans="3:4">
      <c r="C401">
        <v>391</v>
      </c>
      <c r="D401" s="363" t="s">
        <v>933</v>
      </c>
    </row>
    <row r="402" spans="3:4">
      <c r="C402">
        <v>392</v>
      </c>
      <c r="D402" s="363" t="s">
        <v>934</v>
      </c>
    </row>
    <row r="403" spans="3:4">
      <c r="C403">
        <v>393</v>
      </c>
      <c r="D403" s="363" t="s">
        <v>935</v>
      </c>
    </row>
    <row r="404" spans="3:4">
      <c r="C404">
        <v>394</v>
      </c>
      <c r="D404" s="363" t="s">
        <v>936</v>
      </c>
    </row>
    <row r="405" spans="3:4">
      <c r="C405">
        <v>395</v>
      </c>
      <c r="D405" s="363" t="s">
        <v>937</v>
      </c>
    </row>
    <row r="406" spans="3:4">
      <c r="C406">
        <v>396</v>
      </c>
      <c r="D406" s="363" t="s">
        <v>938</v>
      </c>
    </row>
    <row r="407" spans="3:4">
      <c r="C407">
        <v>397</v>
      </c>
      <c r="D407" s="363" t="s">
        <v>939</v>
      </c>
    </row>
    <row r="408" spans="3:4">
      <c r="C408">
        <v>398</v>
      </c>
      <c r="D408" s="363" t="s">
        <v>940</v>
      </c>
    </row>
    <row r="409" spans="3:4">
      <c r="C409">
        <v>399</v>
      </c>
      <c r="D409" s="363" t="s">
        <v>941</v>
      </c>
    </row>
    <row r="410" spans="3:4">
      <c r="C410">
        <v>400</v>
      </c>
      <c r="D410" s="363" t="s">
        <v>942</v>
      </c>
    </row>
    <row r="411" spans="3:4">
      <c r="C411">
        <v>401</v>
      </c>
      <c r="D411" s="364" t="s">
        <v>1506</v>
      </c>
    </row>
    <row r="412" spans="3:4">
      <c r="C412">
        <v>402</v>
      </c>
      <c r="D412" s="364" t="s">
        <v>943</v>
      </c>
    </row>
    <row r="413" spans="3:4">
      <c r="C413">
        <v>403</v>
      </c>
      <c r="D413" s="76" t="s">
        <v>944</v>
      </c>
    </row>
    <row r="414" spans="3:4">
      <c r="C414">
        <v>404</v>
      </c>
      <c r="D414" s="76" t="s">
        <v>945</v>
      </c>
    </row>
    <row r="415" spans="3:4" ht="13.25">
      <c r="C415">
        <v>405</v>
      </c>
      <c r="D415" s="909" t="s">
        <v>1025</v>
      </c>
    </row>
    <row r="416" spans="3:4">
      <c r="C416">
        <v>406</v>
      </c>
      <c r="D416" s="363" t="s">
        <v>946</v>
      </c>
    </row>
    <row r="417" spans="3:4">
      <c r="C417">
        <v>407</v>
      </c>
      <c r="D417" s="363" t="s">
        <v>947</v>
      </c>
    </row>
    <row r="418" spans="3:4">
      <c r="C418">
        <v>408</v>
      </c>
      <c r="D418" s="363" t="s">
        <v>948</v>
      </c>
    </row>
    <row r="419" spans="3:4">
      <c r="C419">
        <v>409</v>
      </c>
      <c r="D419" s="363" t="s">
        <v>949</v>
      </c>
    </row>
    <row r="420" spans="3:4">
      <c r="C420">
        <v>410</v>
      </c>
      <c r="D420" s="363" t="s">
        <v>950</v>
      </c>
    </row>
    <row r="421" spans="3:4">
      <c r="C421">
        <v>411</v>
      </c>
      <c r="D421" s="363" t="s">
        <v>951</v>
      </c>
    </row>
    <row r="422" spans="3:4">
      <c r="C422">
        <v>412</v>
      </c>
      <c r="D422" s="363" t="s">
        <v>952</v>
      </c>
    </row>
    <row r="423" spans="3:4">
      <c r="C423">
        <v>413</v>
      </c>
      <c r="D423" s="903" t="s">
        <v>1318</v>
      </c>
    </row>
    <row r="424" spans="3:4">
      <c r="C424">
        <v>414</v>
      </c>
      <c r="D424" s="363" t="s">
        <v>1381</v>
      </c>
    </row>
    <row r="425" spans="3:4">
      <c r="C425">
        <v>415</v>
      </c>
      <c r="D425" s="363" t="s">
        <v>1374</v>
      </c>
    </row>
    <row r="426" spans="3:4">
      <c r="C426">
        <v>416</v>
      </c>
      <c r="D426" s="363" t="s">
        <v>1473</v>
      </c>
    </row>
    <row r="427" spans="3:4">
      <c r="C427">
        <v>417</v>
      </c>
      <c r="D427" s="76" t="s">
        <v>953</v>
      </c>
    </row>
    <row r="428" spans="3:4">
      <c r="C428">
        <v>418</v>
      </c>
      <c r="D428" s="364" t="s">
        <v>954</v>
      </c>
    </row>
    <row r="429" spans="3:4">
      <c r="C429">
        <v>419</v>
      </c>
      <c r="D429" s="364" t="s">
        <v>955</v>
      </c>
    </row>
    <row r="430" spans="3:4">
      <c r="C430">
        <v>420</v>
      </c>
      <c r="D430" s="364" t="s">
        <v>1063</v>
      </c>
    </row>
    <row r="431" spans="3:4">
      <c r="C431">
        <v>421</v>
      </c>
      <c r="D431" s="364" t="s">
        <v>956</v>
      </c>
    </row>
    <row r="432" spans="3:4">
      <c r="C432">
        <v>422</v>
      </c>
      <c r="D432" s="364" t="s">
        <v>957</v>
      </c>
    </row>
    <row r="433" spans="3:4">
      <c r="C433">
        <v>423</v>
      </c>
      <c r="D433" s="363" t="s">
        <v>958</v>
      </c>
    </row>
    <row r="434" spans="3:4">
      <c r="C434">
        <v>424</v>
      </c>
      <c r="D434" s="364" t="s">
        <v>940</v>
      </c>
    </row>
    <row r="435" spans="3:4">
      <c r="C435">
        <v>425</v>
      </c>
      <c r="D435" s="364" t="s">
        <v>941</v>
      </c>
    </row>
    <row r="436" spans="3:4">
      <c r="C436">
        <v>426</v>
      </c>
      <c r="D436" s="364" t="s">
        <v>959</v>
      </c>
    </row>
    <row r="437" spans="3:4">
      <c r="C437">
        <v>427</v>
      </c>
      <c r="D437" s="364" t="s">
        <v>1503</v>
      </c>
    </row>
    <row r="438" spans="3:4">
      <c r="C438">
        <v>428</v>
      </c>
      <c r="D438" s="364" t="s">
        <v>960</v>
      </c>
    </row>
    <row r="439" spans="3:4">
      <c r="C439">
        <v>429</v>
      </c>
      <c r="D439" s="364" t="s">
        <v>961</v>
      </c>
    </row>
    <row r="440" spans="3:4">
      <c r="C440">
        <v>430</v>
      </c>
      <c r="D440" s="364" t="s">
        <v>962</v>
      </c>
    </row>
    <row r="441" spans="3:4">
      <c r="C441">
        <v>431</v>
      </c>
      <c r="D441" s="363" t="s">
        <v>963</v>
      </c>
    </row>
    <row r="442" spans="3:4">
      <c r="C442">
        <v>432</v>
      </c>
      <c r="D442" s="364" t="s">
        <v>1043</v>
      </c>
    </row>
    <row r="443" spans="3:4">
      <c r="C443">
        <v>433</v>
      </c>
      <c r="D443" s="363" t="s">
        <v>964</v>
      </c>
    </row>
    <row r="444" spans="3:4">
      <c r="C444">
        <v>434</v>
      </c>
      <c r="D444" s="363" t="s">
        <v>965</v>
      </c>
    </row>
    <row r="445" spans="3:4">
      <c r="C445">
        <v>435</v>
      </c>
      <c r="D445" s="363" t="s">
        <v>966</v>
      </c>
    </row>
    <row r="446" spans="3:4">
      <c r="C446">
        <v>436</v>
      </c>
      <c r="D446" s="363" t="s">
        <v>967</v>
      </c>
    </row>
    <row r="447" spans="3:4">
      <c r="C447">
        <v>437</v>
      </c>
      <c r="D447" s="363" t="s">
        <v>968</v>
      </c>
    </row>
    <row r="448" spans="3:4">
      <c r="C448">
        <v>438</v>
      </c>
      <c r="D448" s="363" t="s">
        <v>969</v>
      </c>
    </row>
    <row r="449" spans="3:4">
      <c r="C449">
        <v>439</v>
      </c>
      <c r="D449" s="363" t="s">
        <v>970</v>
      </c>
    </row>
    <row r="450" spans="3:4">
      <c r="C450">
        <v>440</v>
      </c>
      <c r="D450" s="76" t="s">
        <v>971</v>
      </c>
    </row>
    <row r="451" spans="3:4">
      <c r="C451">
        <v>441</v>
      </c>
      <c r="D451" s="363" t="s">
        <v>972</v>
      </c>
    </row>
    <row r="452" spans="3:4">
      <c r="C452">
        <v>442</v>
      </c>
      <c r="D452" s="363" t="s">
        <v>973</v>
      </c>
    </row>
    <row r="453" spans="3:4">
      <c r="C453">
        <v>443</v>
      </c>
      <c r="D453" s="363" t="s">
        <v>974</v>
      </c>
    </row>
    <row r="454" spans="3:4">
      <c r="C454">
        <v>444</v>
      </c>
      <c r="D454" s="363" t="s">
        <v>975</v>
      </c>
    </row>
    <row r="455" spans="3:4">
      <c r="C455">
        <v>445</v>
      </c>
      <c r="D455" s="638" t="s">
        <v>976</v>
      </c>
    </row>
    <row r="456" spans="3:4">
      <c r="C456">
        <v>446</v>
      </c>
      <c r="D456" s="638" t="s">
        <v>977</v>
      </c>
    </row>
    <row r="457" spans="3:4">
      <c r="C457">
        <v>447</v>
      </c>
      <c r="D457" s="638" t="s">
        <v>978</v>
      </c>
    </row>
    <row r="458" spans="3:4">
      <c r="C458">
        <v>448</v>
      </c>
      <c r="D458" s="638" t="s">
        <v>979</v>
      </c>
    </row>
    <row r="459" spans="3:4">
      <c r="C459">
        <v>449</v>
      </c>
      <c r="D459" s="638" t="s">
        <v>980</v>
      </c>
    </row>
    <row r="460" spans="3:4">
      <c r="C460">
        <v>450</v>
      </c>
      <c r="D460" s="638" t="s">
        <v>981</v>
      </c>
    </row>
    <row r="461" spans="3:4">
      <c r="C461">
        <v>451</v>
      </c>
      <c r="D461" s="363" t="s">
        <v>982</v>
      </c>
    </row>
    <row r="462" spans="3:4">
      <c r="C462">
        <v>452</v>
      </c>
      <c r="D462" s="363" t="s">
        <v>983</v>
      </c>
    </row>
    <row r="463" spans="3:4">
      <c r="C463">
        <v>453</v>
      </c>
      <c r="D463" s="363" t="s">
        <v>984</v>
      </c>
    </row>
    <row r="464" spans="3:4">
      <c r="C464">
        <v>454</v>
      </c>
      <c r="D464" s="905" t="s">
        <v>1269</v>
      </c>
    </row>
    <row r="465" spans="3:4">
      <c r="C465">
        <v>455</v>
      </c>
      <c r="D465" s="907" t="s">
        <v>1425</v>
      </c>
    </row>
    <row r="466" spans="3:4">
      <c r="C466">
        <v>456</v>
      </c>
      <c r="D466" s="907" t="s">
        <v>1426</v>
      </c>
    </row>
    <row r="467" spans="3:4">
      <c r="C467">
        <v>457</v>
      </c>
      <c r="D467" s="363" t="s">
        <v>985</v>
      </c>
    </row>
    <row r="468" spans="3:4">
      <c r="C468">
        <v>458</v>
      </c>
      <c r="D468" s="363" t="s">
        <v>986</v>
      </c>
    </row>
    <row r="469" spans="3:4">
      <c r="C469">
        <v>459</v>
      </c>
      <c r="D469" s="363" t="s">
        <v>1462</v>
      </c>
    </row>
    <row r="470" spans="3:4">
      <c r="C470">
        <v>460</v>
      </c>
      <c r="D470" s="363" t="s">
        <v>987</v>
      </c>
    </row>
    <row r="471" spans="3:4">
      <c r="C471">
        <v>461</v>
      </c>
      <c r="D471" s="363" t="s">
        <v>988</v>
      </c>
    </row>
    <row r="472" spans="3:4">
      <c r="C472">
        <v>462</v>
      </c>
      <c r="D472" s="363" t="s">
        <v>989</v>
      </c>
    </row>
    <row r="473" spans="3:4">
      <c r="C473">
        <v>463</v>
      </c>
      <c r="D473" s="363" t="s">
        <v>990</v>
      </c>
    </row>
    <row r="474" spans="3:4">
      <c r="C474">
        <v>464</v>
      </c>
      <c r="D474" s="363" t="s">
        <v>991</v>
      </c>
    </row>
    <row r="475" spans="3:4">
      <c r="C475">
        <v>465</v>
      </c>
      <c r="D475" s="363" t="s">
        <v>992</v>
      </c>
    </row>
    <row r="476" spans="3:4">
      <c r="C476">
        <v>466</v>
      </c>
      <c r="D476" s="363" t="s">
        <v>993</v>
      </c>
    </row>
    <row r="477" spans="3:4">
      <c r="C477">
        <v>467</v>
      </c>
      <c r="D477" s="363" t="s">
        <v>994</v>
      </c>
    </row>
    <row r="478" spans="3:4">
      <c r="C478">
        <v>468</v>
      </c>
      <c r="D478" s="363" t="s">
        <v>995</v>
      </c>
    </row>
    <row r="479" spans="3:4">
      <c r="C479">
        <v>469</v>
      </c>
      <c r="D479" s="363" t="s">
        <v>996</v>
      </c>
    </row>
    <row r="480" spans="3:4">
      <c r="C480">
        <v>470</v>
      </c>
      <c r="D480" s="363" t="s">
        <v>997</v>
      </c>
    </row>
    <row r="481" spans="3:4">
      <c r="C481">
        <v>471</v>
      </c>
      <c r="D481" s="363" t="s">
        <v>1308</v>
      </c>
    </row>
    <row r="482" spans="3:4">
      <c r="C482">
        <v>472</v>
      </c>
      <c r="D482" s="363" t="s">
        <v>998</v>
      </c>
    </row>
    <row r="483" spans="3:4">
      <c r="C483">
        <v>473</v>
      </c>
      <c r="D483" s="363" t="s">
        <v>999</v>
      </c>
    </row>
    <row r="484" spans="3:4">
      <c r="C484">
        <v>474</v>
      </c>
      <c r="D484" s="363" t="s">
        <v>1000</v>
      </c>
    </row>
    <row r="485" spans="3:4">
      <c r="C485">
        <v>475</v>
      </c>
      <c r="D485" s="363" t="s">
        <v>1001</v>
      </c>
    </row>
    <row r="486" spans="3:4">
      <c r="C486">
        <v>476</v>
      </c>
      <c r="D486" s="363" t="s">
        <v>1002</v>
      </c>
    </row>
    <row r="487" spans="3:4">
      <c r="C487">
        <v>477</v>
      </c>
      <c r="D487" s="363" t="s">
        <v>1003</v>
      </c>
    </row>
    <row r="488" spans="3:4">
      <c r="C488">
        <v>478</v>
      </c>
      <c r="D488" s="363" t="s">
        <v>1004</v>
      </c>
    </row>
    <row r="489" spans="3:4">
      <c r="C489">
        <v>479</v>
      </c>
      <c r="D489" s="363" t="s">
        <v>1005</v>
      </c>
    </row>
    <row r="490" spans="3:4">
      <c r="C490">
        <v>480</v>
      </c>
      <c r="D490" s="363" t="s">
        <v>1006</v>
      </c>
    </row>
    <row r="491" spans="3:4">
      <c r="C491">
        <v>481</v>
      </c>
      <c r="D491" s="363" t="s">
        <v>1007</v>
      </c>
    </row>
    <row r="492" spans="3:4">
      <c r="C492">
        <v>482</v>
      </c>
      <c r="D492" s="363" t="s">
        <v>1008</v>
      </c>
    </row>
    <row r="493" spans="3:4">
      <c r="C493">
        <v>483</v>
      </c>
      <c r="D493" s="363" t="s">
        <v>1466</v>
      </c>
    </row>
    <row r="494" spans="3:4">
      <c r="C494">
        <v>484</v>
      </c>
      <c r="D494" s="363" t="s">
        <v>1467</v>
      </c>
    </row>
    <row r="495" spans="3:4">
      <c r="C495">
        <v>485</v>
      </c>
      <c r="D495" s="363" t="s">
        <v>1468</v>
      </c>
    </row>
    <row r="496" spans="3:4">
      <c r="C496">
        <v>486</v>
      </c>
      <c r="D496" s="363" t="s">
        <v>1469</v>
      </c>
    </row>
    <row r="497" spans="3:4">
      <c r="C497">
        <v>487</v>
      </c>
      <c r="D497" s="363" t="s">
        <v>1009</v>
      </c>
    </row>
    <row r="498" spans="3:4">
      <c r="C498">
        <v>488</v>
      </c>
      <c r="D498" s="363" t="s">
        <v>1010</v>
      </c>
    </row>
    <row r="499" spans="3:4">
      <c r="C499">
        <v>489</v>
      </c>
      <c r="D499" s="364" t="s">
        <v>1241</v>
      </c>
    </row>
    <row r="500" spans="3:4">
      <c r="C500">
        <v>490</v>
      </c>
      <c r="D500" s="363" t="s">
        <v>1018</v>
      </c>
    </row>
    <row r="501" spans="3:4">
      <c r="C501">
        <v>491</v>
      </c>
      <c r="D501" s="363" t="s">
        <v>1019</v>
      </c>
    </row>
    <row r="502" spans="3:4">
      <c r="C502">
        <v>492</v>
      </c>
      <c r="D502" s="363" t="s">
        <v>1020</v>
      </c>
    </row>
    <row r="503" spans="3:4">
      <c r="C503">
        <v>493</v>
      </c>
      <c r="D503" s="363" t="s">
        <v>1021</v>
      </c>
    </row>
    <row r="504" spans="3:4">
      <c r="C504">
        <v>494</v>
      </c>
      <c r="D504" s="363" t="s">
        <v>1022</v>
      </c>
    </row>
    <row r="505" spans="3:4">
      <c r="C505">
        <v>495</v>
      </c>
      <c r="D505" s="363" t="s">
        <v>1023</v>
      </c>
    </row>
    <row r="506" spans="3:4">
      <c r="C506">
        <v>496</v>
      </c>
      <c r="D506" s="363" t="s">
        <v>1024</v>
      </c>
    </row>
    <row r="507" spans="3:4">
      <c r="C507">
        <v>497</v>
      </c>
      <c r="D507" s="363" t="s">
        <v>1026</v>
      </c>
    </row>
    <row r="508" spans="3:4">
      <c r="C508">
        <v>498</v>
      </c>
      <c r="D508" s="896" t="s">
        <v>1433</v>
      </c>
    </row>
    <row r="509" spans="3:4" ht="13.25">
      <c r="C509">
        <v>499</v>
      </c>
      <c r="D509" s="909" t="s">
        <v>1028</v>
      </c>
    </row>
    <row r="510" spans="3:4">
      <c r="C510">
        <v>500</v>
      </c>
      <c r="D510" s="363" t="s">
        <v>1029</v>
      </c>
    </row>
    <row r="511" spans="3:4">
      <c r="C511">
        <v>501</v>
      </c>
      <c r="D511" t="s">
        <v>1221</v>
      </c>
    </row>
    <row r="512" spans="3:4">
      <c r="C512">
        <v>502</v>
      </c>
      <c r="D512" s="363" t="s">
        <v>1030</v>
      </c>
    </row>
    <row r="513" spans="3:4">
      <c r="C513">
        <v>503</v>
      </c>
      <c r="D513" s="363" t="s">
        <v>1031</v>
      </c>
    </row>
    <row r="514" spans="3:4">
      <c r="C514">
        <v>504</v>
      </c>
      <c r="D514" s="363" t="s">
        <v>1032</v>
      </c>
    </row>
    <row r="515" spans="3:4">
      <c r="C515">
        <v>505</v>
      </c>
      <c r="D515" s="76" t="s">
        <v>1033</v>
      </c>
    </row>
    <row r="516" spans="3:4">
      <c r="C516">
        <v>506</v>
      </c>
      <c r="D516" s="363" t="s">
        <v>1034</v>
      </c>
    </row>
    <row r="517" spans="3:4">
      <c r="C517">
        <v>507</v>
      </c>
      <c r="D517" s="363" t="s">
        <v>1035</v>
      </c>
    </row>
    <row r="518" spans="3:4">
      <c r="C518">
        <v>508</v>
      </c>
      <c r="D518" s="363" t="s">
        <v>1036</v>
      </c>
    </row>
    <row r="519" spans="3:4">
      <c r="C519">
        <v>509</v>
      </c>
      <c r="D519" s="364" t="s">
        <v>1037</v>
      </c>
    </row>
    <row r="520" spans="3:4">
      <c r="C520">
        <v>510</v>
      </c>
      <c r="D520" s="363" t="s">
        <v>1038</v>
      </c>
    </row>
    <row r="521" spans="3:4">
      <c r="C521">
        <v>511</v>
      </c>
      <c r="D521" s="364" t="s">
        <v>1039</v>
      </c>
    </row>
    <row r="522" spans="3:4">
      <c r="C522">
        <v>512</v>
      </c>
      <c r="D522" s="364" t="s">
        <v>1040</v>
      </c>
    </row>
    <row r="523" spans="3:4">
      <c r="C523">
        <v>513</v>
      </c>
      <c r="D523" s="363" t="s">
        <v>1041</v>
      </c>
    </row>
    <row r="524" spans="3:4">
      <c r="C524">
        <v>514</v>
      </c>
      <c r="D524" s="363" t="s">
        <v>1042</v>
      </c>
    </row>
    <row r="525" spans="3:4">
      <c r="C525">
        <v>515</v>
      </c>
      <c r="D525" s="363" t="s">
        <v>1044</v>
      </c>
    </row>
    <row r="526" spans="3:4">
      <c r="C526">
        <v>516</v>
      </c>
      <c r="D526" s="364" t="s">
        <v>1047</v>
      </c>
    </row>
    <row r="527" spans="3:4">
      <c r="C527">
        <v>517</v>
      </c>
      <c r="D527" s="363" t="s">
        <v>1048</v>
      </c>
    </row>
    <row r="528" spans="3:4">
      <c r="C528">
        <v>518</v>
      </c>
      <c r="D528" s="363" t="s">
        <v>1049</v>
      </c>
    </row>
    <row r="529" spans="3:6">
      <c r="C529">
        <v>519</v>
      </c>
      <c r="D529" s="363" t="s">
        <v>1538</v>
      </c>
    </row>
    <row r="530" spans="3:6">
      <c r="C530">
        <v>520</v>
      </c>
      <c r="D530" s="363" t="s">
        <v>1050</v>
      </c>
    </row>
    <row r="531" spans="3:6">
      <c r="C531">
        <v>521</v>
      </c>
      <c r="D531" s="363" t="s">
        <v>1051</v>
      </c>
    </row>
    <row r="532" spans="3:6">
      <c r="C532">
        <v>522</v>
      </c>
      <c r="D532" s="363" t="s">
        <v>1052</v>
      </c>
    </row>
    <row r="533" spans="3:6">
      <c r="C533">
        <v>523</v>
      </c>
      <c r="D533" s="363" t="s">
        <v>1054</v>
      </c>
    </row>
    <row r="534" spans="3:6">
      <c r="C534">
        <v>524</v>
      </c>
      <c r="D534" s="363" t="s">
        <v>1055</v>
      </c>
    </row>
    <row r="535" spans="3:6">
      <c r="C535">
        <v>525</v>
      </c>
      <c r="D535" s="903" t="s">
        <v>1223</v>
      </c>
    </row>
    <row r="536" spans="3:6">
      <c r="C536">
        <v>526</v>
      </c>
      <c r="D536" s="363" t="s">
        <v>1056</v>
      </c>
    </row>
    <row r="537" spans="3:6">
      <c r="C537">
        <v>527</v>
      </c>
      <c r="D537" s="363" t="s">
        <v>1057</v>
      </c>
      <c r="F537" s="76"/>
    </row>
    <row r="538" spans="3:6">
      <c r="C538">
        <v>528</v>
      </c>
      <c r="D538" s="364" t="s">
        <v>1058</v>
      </c>
    </row>
    <row r="539" spans="3:6">
      <c r="C539">
        <v>529</v>
      </c>
      <c r="D539" s="903" t="s">
        <v>1059</v>
      </c>
    </row>
    <row r="540" spans="3:6">
      <c r="C540">
        <v>530</v>
      </c>
      <c r="D540" s="903" t="s">
        <v>1218</v>
      </c>
    </row>
    <row r="541" spans="3:6">
      <c r="C541">
        <v>531</v>
      </c>
      <c r="D541" s="910" t="s">
        <v>1062</v>
      </c>
    </row>
    <row r="542" spans="3:6">
      <c r="C542">
        <v>532</v>
      </c>
      <c r="D542" s="903" t="s">
        <v>1064</v>
      </c>
    </row>
    <row r="543" spans="3:6">
      <c r="C543">
        <v>533</v>
      </c>
      <c r="D543" s="903" t="s">
        <v>1065</v>
      </c>
    </row>
    <row r="544" spans="3:6">
      <c r="C544">
        <v>534</v>
      </c>
      <c r="D544" s="903" t="s">
        <v>1067</v>
      </c>
    </row>
    <row r="545" spans="3:4">
      <c r="C545">
        <v>535</v>
      </c>
      <c r="D545" s="903" t="s">
        <v>1068</v>
      </c>
    </row>
    <row r="546" spans="3:4">
      <c r="C546">
        <v>536</v>
      </c>
      <c r="D546" s="903" t="s">
        <v>1069</v>
      </c>
    </row>
    <row r="547" spans="3:4">
      <c r="C547">
        <v>537</v>
      </c>
      <c r="D547" s="896" t="s">
        <v>1448</v>
      </c>
    </row>
    <row r="548" spans="3:4">
      <c r="C548">
        <v>538</v>
      </c>
      <c r="D548" s="903" t="s">
        <v>1071</v>
      </c>
    </row>
    <row r="549" spans="3:4">
      <c r="C549">
        <v>539</v>
      </c>
      <c r="D549" s="903" t="s">
        <v>797</v>
      </c>
    </row>
    <row r="550" spans="3:4">
      <c r="C550">
        <v>540</v>
      </c>
      <c r="D550" s="903" t="s">
        <v>1072</v>
      </c>
    </row>
    <row r="551" spans="3:4">
      <c r="C551">
        <v>541</v>
      </c>
      <c r="D551" s="364" t="s">
        <v>1073</v>
      </c>
    </row>
    <row r="552" spans="3:4">
      <c r="C552">
        <v>542</v>
      </c>
      <c r="D552" t="s">
        <v>1424</v>
      </c>
    </row>
    <row r="553" spans="3:4">
      <c r="C553">
        <v>543</v>
      </c>
      <c r="D553" s="357" t="s">
        <v>1334</v>
      </c>
    </row>
    <row r="554" spans="3:4">
      <c r="C554">
        <v>544</v>
      </c>
      <c r="D554" s="903" t="s">
        <v>1075</v>
      </c>
    </row>
    <row r="555" spans="3:4">
      <c r="C555">
        <v>545</v>
      </c>
      <c r="D555" s="903" t="s">
        <v>1076</v>
      </c>
    </row>
    <row r="556" spans="3:4">
      <c r="C556">
        <v>546</v>
      </c>
      <c r="D556" s="903" t="s">
        <v>1482</v>
      </c>
    </row>
    <row r="557" spans="3:4">
      <c r="C557">
        <v>547</v>
      </c>
      <c r="D557" s="903" t="s">
        <v>1077</v>
      </c>
    </row>
    <row r="558" spans="3:4">
      <c r="C558">
        <v>548</v>
      </c>
      <c r="D558" s="364" t="s">
        <v>1078</v>
      </c>
    </row>
    <row r="559" spans="3:4">
      <c r="C559">
        <v>549</v>
      </c>
      <c r="D559" s="364" t="s">
        <v>1079</v>
      </c>
    </row>
    <row r="560" spans="3:4">
      <c r="C560">
        <v>550</v>
      </c>
      <c r="D560" s="364" t="s">
        <v>1080</v>
      </c>
    </row>
    <row r="561" spans="3:4">
      <c r="C561">
        <v>551</v>
      </c>
      <c r="D561" s="364" t="s">
        <v>380</v>
      </c>
    </row>
    <row r="562" spans="3:4">
      <c r="C562">
        <v>552</v>
      </c>
      <c r="D562" t="s">
        <v>1266</v>
      </c>
    </row>
    <row r="563" spans="3:4">
      <c r="C563">
        <v>553</v>
      </c>
      <c r="D563" s="364" t="s">
        <v>1081</v>
      </c>
    </row>
    <row r="564" spans="3:4">
      <c r="C564">
        <v>554</v>
      </c>
      <c r="D564" s="364" t="s">
        <v>844</v>
      </c>
    </row>
    <row r="565" spans="3:4">
      <c r="C565">
        <v>555</v>
      </c>
      <c r="D565" s="364" t="s">
        <v>1082</v>
      </c>
    </row>
    <row r="566" spans="3:4">
      <c r="C566">
        <v>556</v>
      </c>
      <c r="D566" s="364" t="s">
        <v>1083</v>
      </c>
    </row>
    <row r="567" spans="3:4">
      <c r="C567">
        <v>557</v>
      </c>
      <c r="D567" s="364" t="s">
        <v>639</v>
      </c>
    </row>
    <row r="568" spans="3:4">
      <c r="C568">
        <v>558</v>
      </c>
      <c r="D568" s="364" t="s">
        <v>1084</v>
      </c>
    </row>
    <row r="569" spans="3:4">
      <c r="C569">
        <v>559</v>
      </c>
      <c r="D569" s="364" t="s">
        <v>1085</v>
      </c>
    </row>
    <row r="570" spans="3:4">
      <c r="C570">
        <v>560</v>
      </c>
      <c r="D570" s="364" t="s">
        <v>1086</v>
      </c>
    </row>
    <row r="571" spans="3:4">
      <c r="C571">
        <v>561</v>
      </c>
      <c r="D571" s="364" t="s">
        <v>1087</v>
      </c>
    </row>
    <row r="572" spans="3:4">
      <c r="C572">
        <v>562</v>
      </c>
      <c r="D572" s="364" t="s">
        <v>1088</v>
      </c>
    </row>
    <row r="573" spans="3:4">
      <c r="C573">
        <v>563</v>
      </c>
      <c r="D573" s="364" t="s">
        <v>1089</v>
      </c>
    </row>
    <row r="574" spans="3:4">
      <c r="C574">
        <v>564</v>
      </c>
      <c r="D574" s="903" t="s">
        <v>1091</v>
      </c>
    </row>
    <row r="575" spans="3:4">
      <c r="C575">
        <v>565</v>
      </c>
      <c r="D575" s="903" t="s">
        <v>1092</v>
      </c>
    </row>
    <row r="576" spans="3:4">
      <c r="C576">
        <v>566</v>
      </c>
      <c r="D576" s="903" t="s">
        <v>1093</v>
      </c>
    </row>
    <row r="577" spans="3:4">
      <c r="C577">
        <v>567</v>
      </c>
      <c r="D577" s="903" t="s">
        <v>1463</v>
      </c>
    </row>
    <row r="578" spans="3:4">
      <c r="C578">
        <v>568</v>
      </c>
      <c r="D578" s="903" t="s">
        <v>1464</v>
      </c>
    </row>
    <row r="579" spans="3:4">
      <c r="C579">
        <v>569</v>
      </c>
      <c r="D579" s="364" t="s">
        <v>631</v>
      </c>
    </row>
    <row r="580" spans="3:4">
      <c r="C580">
        <v>570</v>
      </c>
      <c r="D580" s="903" t="s">
        <v>1098</v>
      </c>
    </row>
    <row r="581" spans="3:4">
      <c r="C581">
        <v>571</v>
      </c>
      <c r="D581" s="911" t="s">
        <v>1099</v>
      </c>
    </row>
    <row r="582" spans="3:4">
      <c r="C582">
        <v>572</v>
      </c>
      <c r="D582" s="364" t="s">
        <v>1100</v>
      </c>
    </row>
    <row r="583" spans="3:4">
      <c r="C583">
        <v>573</v>
      </c>
      <c r="D583" s="364" t="s">
        <v>1101</v>
      </c>
    </row>
    <row r="584" spans="3:4">
      <c r="C584">
        <v>574</v>
      </c>
      <c r="D584" s="903" t="s">
        <v>1102</v>
      </c>
    </row>
    <row r="585" spans="3:4">
      <c r="C585">
        <v>575</v>
      </c>
      <c r="D585" s="903" t="s">
        <v>1104</v>
      </c>
    </row>
    <row r="586" spans="3:4">
      <c r="C586">
        <v>576</v>
      </c>
      <c r="D586" s="903" t="s">
        <v>1105</v>
      </c>
    </row>
    <row r="587" spans="3:4">
      <c r="C587">
        <v>577</v>
      </c>
      <c r="D587" s="903" t="s">
        <v>1106</v>
      </c>
    </row>
    <row r="588" spans="3:4">
      <c r="C588">
        <v>578</v>
      </c>
      <c r="D588" s="903" t="s">
        <v>1108</v>
      </c>
    </row>
    <row r="589" spans="3:4">
      <c r="C589">
        <v>579</v>
      </c>
      <c r="D589" s="363" t="s">
        <v>1109</v>
      </c>
    </row>
    <row r="590" spans="3:4">
      <c r="C590">
        <v>580</v>
      </c>
      <c r="D590" s="905" t="s">
        <v>1110</v>
      </c>
    </row>
    <row r="591" spans="3:4">
      <c r="C591">
        <v>581</v>
      </c>
      <c r="D591" s="903" t="s">
        <v>1111</v>
      </c>
    </row>
    <row r="592" spans="3:4">
      <c r="C592">
        <v>582</v>
      </c>
      <c r="D592" s="903" t="s">
        <v>1113</v>
      </c>
    </row>
    <row r="593" spans="3:4">
      <c r="C593">
        <v>583</v>
      </c>
      <c r="D593" s="903" t="s">
        <v>1114</v>
      </c>
    </row>
    <row r="594" spans="3:4">
      <c r="C594">
        <v>584</v>
      </c>
      <c r="D594" s="903" t="s">
        <v>1115</v>
      </c>
    </row>
    <row r="595" spans="3:4">
      <c r="C595">
        <v>585</v>
      </c>
      <c r="D595" s="903" t="s">
        <v>1116</v>
      </c>
    </row>
    <row r="596" spans="3:4">
      <c r="C596">
        <v>586</v>
      </c>
      <c r="D596" s="903" t="s">
        <v>1294</v>
      </c>
    </row>
    <row r="597" spans="3:4">
      <c r="C597">
        <v>587</v>
      </c>
      <c r="D597" s="903" t="s">
        <v>1548</v>
      </c>
    </row>
    <row r="598" spans="3:4">
      <c r="C598">
        <v>588</v>
      </c>
      <c r="D598" s="903" t="s">
        <v>1117</v>
      </c>
    </row>
    <row r="599" spans="3:4">
      <c r="C599">
        <v>589</v>
      </c>
      <c r="D599" s="903" t="s">
        <v>1118</v>
      </c>
    </row>
    <row r="600" spans="3:4">
      <c r="C600">
        <v>590</v>
      </c>
      <c r="D600" s="905" t="s">
        <v>1119</v>
      </c>
    </row>
    <row r="601" spans="3:4">
      <c r="C601">
        <v>591</v>
      </c>
      <c r="D601" s="905" t="s">
        <v>1407</v>
      </c>
    </row>
    <row r="602" spans="3:4">
      <c r="C602">
        <v>592</v>
      </c>
      <c r="D602" s="903" t="s">
        <v>1122</v>
      </c>
    </row>
    <row r="603" spans="3:4">
      <c r="C603">
        <v>593</v>
      </c>
      <c r="D603" s="903" t="s">
        <v>1123</v>
      </c>
    </row>
    <row r="604" spans="3:4">
      <c r="C604">
        <v>594</v>
      </c>
      <c r="D604" s="363" t="s">
        <v>1124</v>
      </c>
    </row>
    <row r="605" spans="3:4">
      <c r="C605">
        <v>595</v>
      </c>
      <c r="D605" s="363" t="s">
        <v>1125</v>
      </c>
    </row>
    <row r="606" spans="3:4">
      <c r="C606">
        <v>596</v>
      </c>
      <c r="D606" s="363" t="s">
        <v>1126</v>
      </c>
    </row>
    <row r="607" spans="3:4">
      <c r="C607">
        <v>597</v>
      </c>
      <c r="D607" s="364" t="s">
        <v>1127</v>
      </c>
    </row>
    <row r="608" spans="3:4">
      <c r="C608">
        <v>598</v>
      </c>
      <c r="D608" s="364" t="s">
        <v>1128</v>
      </c>
    </row>
    <row r="609" spans="3:4">
      <c r="C609">
        <v>599</v>
      </c>
      <c r="D609" s="364" t="s">
        <v>1129</v>
      </c>
    </row>
    <row r="610" spans="3:4">
      <c r="C610">
        <v>600</v>
      </c>
      <c r="D610" s="364" t="s">
        <v>1130</v>
      </c>
    </row>
    <row r="611" spans="3:4">
      <c r="C611">
        <v>601</v>
      </c>
      <c r="D611" s="364" t="s">
        <v>1131</v>
      </c>
    </row>
    <row r="612" spans="3:4">
      <c r="C612">
        <v>602</v>
      </c>
      <c r="D612" s="364" t="s">
        <v>1132</v>
      </c>
    </row>
    <row r="613" spans="3:4">
      <c r="C613">
        <v>603</v>
      </c>
      <c r="D613" s="364" t="s">
        <v>1133</v>
      </c>
    </row>
    <row r="614" spans="3:4">
      <c r="C614">
        <v>604</v>
      </c>
      <c r="D614" s="903" t="s">
        <v>1134</v>
      </c>
    </row>
    <row r="615" spans="3:4">
      <c r="C615">
        <v>605</v>
      </c>
      <c r="D615" s="903" t="s">
        <v>1135</v>
      </c>
    </row>
    <row r="616" spans="3:4">
      <c r="C616">
        <v>606</v>
      </c>
      <c r="D616" s="903" t="s">
        <v>1137</v>
      </c>
    </row>
    <row r="617" spans="3:4">
      <c r="C617">
        <v>607</v>
      </c>
      <c r="D617" s="903" t="s">
        <v>1138</v>
      </c>
    </row>
    <row r="618" spans="3:4">
      <c r="C618">
        <v>608</v>
      </c>
      <c r="D618" s="903" t="s">
        <v>1139</v>
      </c>
    </row>
    <row r="619" spans="3:4">
      <c r="C619">
        <v>609</v>
      </c>
      <c r="D619" s="903" t="s">
        <v>1302</v>
      </c>
    </row>
    <row r="620" spans="3:4">
      <c r="C620">
        <v>610</v>
      </c>
      <c r="D620" s="903" t="s">
        <v>1140</v>
      </c>
    </row>
    <row r="621" spans="3:4">
      <c r="C621">
        <v>611</v>
      </c>
      <c r="D621" s="903" t="s">
        <v>1189</v>
      </c>
    </row>
    <row r="622" spans="3:4">
      <c r="C622">
        <v>612</v>
      </c>
      <c r="D622" s="903" t="s">
        <v>1190</v>
      </c>
    </row>
    <row r="623" spans="3:4">
      <c r="C623">
        <v>613</v>
      </c>
      <c r="D623" s="903" t="s">
        <v>1191</v>
      </c>
    </row>
    <row r="624" spans="3:4">
      <c r="C624">
        <v>614</v>
      </c>
      <c r="D624" s="903" t="s">
        <v>1192</v>
      </c>
    </row>
    <row r="625" spans="3:4">
      <c r="C625">
        <v>615</v>
      </c>
      <c r="D625" s="903" t="s">
        <v>1193</v>
      </c>
    </row>
    <row r="626" spans="3:4">
      <c r="C626">
        <v>616</v>
      </c>
      <c r="D626" s="903" t="s">
        <v>1194</v>
      </c>
    </row>
    <row r="627" spans="3:4">
      <c r="C627">
        <v>617</v>
      </c>
      <c r="D627" s="903" t="s">
        <v>1195</v>
      </c>
    </row>
    <row r="628" spans="3:4">
      <c r="C628">
        <v>618</v>
      </c>
      <c r="D628" s="903" t="s">
        <v>1196</v>
      </c>
    </row>
    <row r="629" spans="3:4">
      <c r="C629">
        <v>619</v>
      </c>
      <c r="D629" s="903" t="s">
        <v>1197</v>
      </c>
    </row>
    <row r="630" spans="3:4">
      <c r="C630">
        <v>620</v>
      </c>
      <c r="D630" s="903" t="s">
        <v>1198</v>
      </c>
    </row>
    <row r="631" spans="3:4">
      <c r="C631">
        <v>621</v>
      </c>
      <c r="D631" s="903" t="s">
        <v>1199</v>
      </c>
    </row>
    <row r="632" spans="3:4">
      <c r="C632">
        <v>622</v>
      </c>
      <c r="D632" s="903" t="s">
        <v>1200</v>
      </c>
    </row>
    <row r="633" spans="3:4">
      <c r="C633">
        <v>623</v>
      </c>
      <c r="D633" s="903" t="s">
        <v>1201</v>
      </c>
    </row>
    <row r="634" spans="3:4">
      <c r="C634">
        <v>624</v>
      </c>
      <c r="D634" s="903" t="s">
        <v>1202</v>
      </c>
    </row>
    <row r="635" spans="3:4">
      <c r="C635">
        <v>625</v>
      </c>
      <c r="D635" s="363" t="s">
        <v>1504</v>
      </c>
    </row>
    <row r="636" spans="3:4">
      <c r="C636">
        <v>626</v>
      </c>
      <c r="D636" s="903" t="s">
        <v>1203</v>
      </c>
    </row>
    <row r="637" spans="3:4">
      <c r="C637">
        <v>627</v>
      </c>
      <c r="D637" s="903" t="s">
        <v>1204</v>
      </c>
    </row>
    <row r="638" spans="3:4">
      <c r="C638">
        <v>628</v>
      </c>
      <c r="D638" s="903" t="s">
        <v>1205</v>
      </c>
    </row>
    <row r="639" spans="3:4">
      <c r="C639">
        <v>629</v>
      </c>
      <c r="D639" s="905" t="s">
        <v>1206</v>
      </c>
    </row>
    <row r="640" spans="3:4">
      <c r="C640">
        <v>630</v>
      </c>
      <c r="D640" s="364" t="s">
        <v>1207</v>
      </c>
    </row>
    <row r="641" spans="3:4">
      <c r="C641">
        <v>631</v>
      </c>
      <c r="D641" s="903" t="s">
        <v>1208</v>
      </c>
    </row>
    <row r="642" spans="3:4">
      <c r="C642">
        <v>632</v>
      </c>
      <c r="D642" s="364" t="s">
        <v>1209</v>
      </c>
    </row>
    <row r="643" spans="3:4">
      <c r="C643">
        <v>633</v>
      </c>
      <c r="D643" s="903" t="s">
        <v>1210</v>
      </c>
    </row>
    <row r="644" spans="3:4">
      <c r="C644">
        <v>634</v>
      </c>
      <c r="D644" s="879" t="s">
        <v>1212</v>
      </c>
    </row>
    <row r="645" spans="3:4">
      <c r="C645">
        <v>635</v>
      </c>
      <c r="D645" s="903" t="s">
        <v>1211</v>
      </c>
    </row>
    <row r="646" spans="3:4">
      <c r="C646">
        <v>636</v>
      </c>
      <c r="D646" s="912" t="s">
        <v>1213</v>
      </c>
    </row>
    <row r="647" spans="3:4">
      <c r="C647">
        <v>637</v>
      </c>
      <c r="D647" s="912" t="s">
        <v>1214</v>
      </c>
    </row>
    <row r="648" spans="3:4">
      <c r="C648">
        <v>638</v>
      </c>
      <c r="D648" s="912" t="s">
        <v>1215</v>
      </c>
    </row>
    <row r="649" spans="3:4">
      <c r="C649">
        <v>639</v>
      </c>
      <c r="D649" s="363" t="s">
        <v>1220</v>
      </c>
    </row>
    <row r="650" spans="3:4">
      <c r="C650">
        <v>640</v>
      </c>
      <c r="D650" s="903" t="s">
        <v>1476</v>
      </c>
    </row>
    <row r="651" spans="3:4">
      <c r="C651">
        <v>641</v>
      </c>
      <c r="D651" s="903" t="s">
        <v>1224</v>
      </c>
    </row>
    <row r="652" spans="3:4">
      <c r="C652">
        <v>642</v>
      </c>
      <c r="D652" s="903" t="s">
        <v>1225</v>
      </c>
    </row>
    <row r="653" spans="3:4">
      <c r="C653">
        <v>643</v>
      </c>
      <c r="D653" s="903" t="s">
        <v>1226</v>
      </c>
    </row>
    <row r="654" spans="3:4">
      <c r="C654">
        <v>644</v>
      </c>
      <c r="D654" s="903" t="s">
        <v>1229</v>
      </c>
    </row>
    <row r="655" spans="3:4">
      <c r="C655">
        <v>645</v>
      </c>
      <c r="D655" s="903" t="s">
        <v>1231</v>
      </c>
    </row>
    <row r="656" spans="3:4">
      <c r="C656">
        <v>646</v>
      </c>
      <c r="D656" s="903" t="s">
        <v>1232</v>
      </c>
    </row>
    <row r="657" spans="3:4">
      <c r="C657">
        <v>647</v>
      </c>
      <c r="D657" t="s">
        <v>1233</v>
      </c>
    </row>
    <row r="658" spans="3:4">
      <c r="C658">
        <v>648</v>
      </c>
      <c r="D658" s="904" t="s">
        <v>1451</v>
      </c>
    </row>
    <row r="659" spans="3:4">
      <c r="C659">
        <v>649</v>
      </c>
      <c r="D659" s="903" t="s">
        <v>1234</v>
      </c>
    </row>
    <row r="660" spans="3:4">
      <c r="C660">
        <v>650</v>
      </c>
      <c r="D660" s="903" t="s">
        <v>1235</v>
      </c>
    </row>
    <row r="661" spans="3:4">
      <c r="C661">
        <v>651</v>
      </c>
      <c r="D661" s="903" t="s">
        <v>1236</v>
      </c>
    </row>
    <row r="662" spans="3:4">
      <c r="C662">
        <v>652</v>
      </c>
      <c r="D662" s="903" t="s">
        <v>1237</v>
      </c>
    </row>
    <row r="663" spans="3:4">
      <c r="C663">
        <v>653</v>
      </c>
      <c r="D663" s="903" t="s">
        <v>1238</v>
      </c>
    </row>
    <row r="664" spans="3:4">
      <c r="C664">
        <v>654</v>
      </c>
      <c r="D664" s="363" t="s">
        <v>1239</v>
      </c>
    </row>
    <row r="665" spans="3:4">
      <c r="C665">
        <v>655</v>
      </c>
      <c r="D665" s="903" t="s">
        <v>1242</v>
      </c>
    </row>
    <row r="666" spans="3:4">
      <c r="C666">
        <v>656</v>
      </c>
      <c r="D666" s="903" t="s">
        <v>1243</v>
      </c>
    </row>
    <row r="667" spans="3:4">
      <c r="C667">
        <v>657</v>
      </c>
      <c r="D667" s="903" t="s">
        <v>1244</v>
      </c>
    </row>
    <row r="668" spans="3:4">
      <c r="C668">
        <v>658</v>
      </c>
      <c r="D668" s="903" t="s">
        <v>1245</v>
      </c>
    </row>
    <row r="669" spans="3:4">
      <c r="C669">
        <v>659</v>
      </c>
      <c r="D669" s="913" t="s">
        <v>1508</v>
      </c>
    </row>
    <row r="670" spans="3:4">
      <c r="C670">
        <v>660</v>
      </c>
      <c r="D670" s="903" t="s">
        <v>1248</v>
      </c>
    </row>
    <row r="671" spans="3:4">
      <c r="C671">
        <v>661</v>
      </c>
      <c r="D671" s="903" t="s">
        <v>1249</v>
      </c>
    </row>
    <row r="672" spans="3:4">
      <c r="C672">
        <v>662</v>
      </c>
      <c r="D672" s="363" t="s">
        <v>1250</v>
      </c>
    </row>
    <row r="673" spans="3:4">
      <c r="C673">
        <v>663</v>
      </c>
      <c r="D673" s="905" t="s">
        <v>1254</v>
      </c>
    </row>
    <row r="674" spans="3:4">
      <c r="C674">
        <v>664</v>
      </c>
      <c r="D674" s="364" t="s">
        <v>1255</v>
      </c>
    </row>
    <row r="675" spans="3:4">
      <c r="C675">
        <v>665</v>
      </c>
      <c r="D675" s="914" t="s">
        <v>1256</v>
      </c>
    </row>
    <row r="676" spans="3:4">
      <c r="C676">
        <v>666</v>
      </c>
      <c r="D676" s="903" t="s">
        <v>1257</v>
      </c>
    </row>
    <row r="677" spans="3:4">
      <c r="C677">
        <v>667</v>
      </c>
      <c r="D677" s="903" t="s">
        <v>1258</v>
      </c>
    </row>
    <row r="678" spans="3:4">
      <c r="C678">
        <v>668</v>
      </c>
      <c r="D678" s="903" t="s">
        <v>1259</v>
      </c>
    </row>
    <row r="679" spans="3:4">
      <c r="C679">
        <v>669</v>
      </c>
      <c r="D679" s="903" t="s">
        <v>1260</v>
      </c>
    </row>
    <row r="680" spans="3:4">
      <c r="C680">
        <v>670</v>
      </c>
      <c r="D680" s="903" t="s">
        <v>1261</v>
      </c>
    </row>
    <row r="681" spans="3:4">
      <c r="C681">
        <v>671</v>
      </c>
      <c r="D681" s="903" t="s">
        <v>1262</v>
      </c>
    </row>
    <row r="682" spans="3:4">
      <c r="C682">
        <v>672</v>
      </c>
      <c r="D682" s="903" t="s">
        <v>1263</v>
      </c>
    </row>
    <row r="683" spans="3:4">
      <c r="C683">
        <v>673</v>
      </c>
      <c r="D683" s="903" t="s">
        <v>1264</v>
      </c>
    </row>
    <row r="684" spans="3:4">
      <c r="C684">
        <v>674</v>
      </c>
      <c r="D684" s="364" t="s">
        <v>1265</v>
      </c>
    </row>
    <row r="685" spans="3:4">
      <c r="C685">
        <v>675</v>
      </c>
      <c r="D685" s="903" t="s">
        <v>1267</v>
      </c>
    </row>
    <row r="686" spans="3:4">
      <c r="C686">
        <v>676</v>
      </c>
      <c r="D686" s="903" t="s">
        <v>1270</v>
      </c>
    </row>
    <row r="687" spans="3:4">
      <c r="C687">
        <v>677</v>
      </c>
      <c r="D687" s="903" t="s">
        <v>1271</v>
      </c>
    </row>
    <row r="688" spans="3:4">
      <c r="C688">
        <v>678</v>
      </c>
      <c r="D688" s="903" t="s">
        <v>1272</v>
      </c>
    </row>
    <row r="689" spans="3:4">
      <c r="C689">
        <v>679</v>
      </c>
      <c r="D689" s="903" t="s">
        <v>1275</v>
      </c>
    </row>
    <row r="690" spans="3:4">
      <c r="C690">
        <v>680</v>
      </c>
      <c r="D690" s="903" t="s">
        <v>1276</v>
      </c>
    </row>
    <row r="691" spans="3:4">
      <c r="C691">
        <v>681</v>
      </c>
      <c r="D691" s="903" t="s">
        <v>1277</v>
      </c>
    </row>
    <row r="692" spans="3:4">
      <c r="C692">
        <v>682</v>
      </c>
      <c r="D692" s="903" t="s">
        <v>1278</v>
      </c>
    </row>
    <row r="693" spans="3:4">
      <c r="C693">
        <v>683</v>
      </c>
      <c r="D693" s="903" t="s">
        <v>1279</v>
      </c>
    </row>
    <row r="694" spans="3:4">
      <c r="C694">
        <v>684</v>
      </c>
      <c r="D694" s="903" t="s">
        <v>1280</v>
      </c>
    </row>
    <row r="695" spans="3:4">
      <c r="C695">
        <v>685</v>
      </c>
      <c r="D695" s="903" t="s">
        <v>1316</v>
      </c>
    </row>
    <row r="696" spans="3:4">
      <c r="C696">
        <v>686</v>
      </c>
      <c r="D696" s="903" t="s">
        <v>1315</v>
      </c>
    </row>
    <row r="697" spans="3:4">
      <c r="C697">
        <v>687</v>
      </c>
      <c r="D697" s="905" t="s">
        <v>1281</v>
      </c>
    </row>
    <row r="698" spans="3:4">
      <c r="C698">
        <v>688</v>
      </c>
      <c r="D698" s="903" t="s">
        <v>1282</v>
      </c>
    </row>
    <row r="699" spans="3:4">
      <c r="C699">
        <v>689</v>
      </c>
      <c r="D699" s="903" t="s">
        <v>1284</v>
      </c>
    </row>
    <row r="700" spans="3:4">
      <c r="C700">
        <v>690</v>
      </c>
      <c r="D700" s="903" t="s">
        <v>1285</v>
      </c>
    </row>
    <row r="701" spans="3:4">
      <c r="C701">
        <v>691</v>
      </c>
      <c r="D701" s="903" t="s">
        <v>1286</v>
      </c>
    </row>
    <row r="702" spans="3:4">
      <c r="C702">
        <v>692</v>
      </c>
      <c r="D702" s="903" t="s">
        <v>1287</v>
      </c>
    </row>
    <row r="703" spans="3:4">
      <c r="C703">
        <v>693</v>
      </c>
      <c r="D703" s="903" t="s">
        <v>1288</v>
      </c>
    </row>
    <row r="704" spans="3:4">
      <c r="C704">
        <v>694</v>
      </c>
      <c r="D704" s="903" t="s">
        <v>1289</v>
      </c>
    </row>
    <row r="705" spans="3:4">
      <c r="C705">
        <v>695</v>
      </c>
      <c r="D705" s="903" t="s">
        <v>1290</v>
      </c>
    </row>
    <row r="706" spans="3:4">
      <c r="C706">
        <v>696</v>
      </c>
      <c r="D706" s="903" t="s">
        <v>1291</v>
      </c>
    </row>
    <row r="707" spans="3:4">
      <c r="C707">
        <v>697</v>
      </c>
      <c r="D707" s="903" t="s">
        <v>1292</v>
      </c>
    </row>
    <row r="708" spans="3:4">
      <c r="C708">
        <v>698</v>
      </c>
      <c r="D708" s="903" t="s">
        <v>1293</v>
      </c>
    </row>
    <row r="709" spans="3:4">
      <c r="C709">
        <v>699</v>
      </c>
      <c r="D709" s="903" t="s">
        <v>1295</v>
      </c>
    </row>
    <row r="710" spans="3:4">
      <c r="C710">
        <v>700</v>
      </c>
      <c r="D710" s="903" t="s">
        <v>1296</v>
      </c>
    </row>
    <row r="711" spans="3:4">
      <c r="C711">
        <v>701</v>
      </c>
      <c r="D711" s="903" t="s">
        <v>1297</v>
      </c>
    </row>
    <row r="712" spans="3:4">
      <c r="C712">
        <v>702</v>
      </c>
      <c r="D712" s="903" t="s">
        <v>1298</v>
      </c>
    </row>
    <row r="713" spans="3:4">
      <c r="C713">
        <v>703</v>
      </c>
      <c r="D713" s="903" t="s">
        <v>1299</v>
      </c>
    </row>
    <row r="714" spans="3:4">
      <c r="C714">
        <v>704</v>
      </c>
      <c r="D714" s="903" t="s">
        <v>631</v>
      </c>
    </row>
    <row r="715" spans="3:4">
      <c r="C715">
        <v>705</v>
      </c>
      <c r="D715" s="903" t="s">
        <v>1300</v>
      </c>
    </row>
    <row r="716" spans="3:4">
      <c r="C716">
        <v>706</v>
      </c>
      <c r="D716" s="903" t="s">
        <v>1301</v>
      </c>
    </row>
    <row r="717" spans="3:4">
      <c r="C717">
        <v>707</v>
      </c>
      <c r="D717" s="364" t="s">
        <v>1302</v>
      </c>
    </row>
    <row r="718" spans="3:4">
      <c r="C718">
        <v>708</v>
      </c>
      <c r="D718" s="364" t="s">
        <v>1303</v>
      </c>
    </row>
    <row r="719" spans="3:4">
      <c r="C719">
        <v>709</v>
      </c>
      <c r="D719" s="364" t="s">
        <v>1304</v>
      </c>
    </row>
    <row r="720" spans="3:4">
      <c r="C720">
        <v>710</v>
      </c>
      <c r="D720" s="364" t="s">
        <v>1305</v>
      </c>
    </row>
    <row r="721" spans="3:4">
      <c r="C721">
        <v>711</v>
      </c>
      <c r="D721" s="903" t="s">
        <v>1306</v>
      </c>
    </row>
    <row r="722" spans="3:4">
      <c r="C722">
        <v>712</v>
      </c>
      <c r="D722" s="903" t="s">
        <v>1307</v>
      </c>
    </row>
    <row r="723" spans="3:4">
      <c r="C723">
        <v>713</v>
      </c>
      <c r="D723" s="364" t="s">
        <v>1310</v>
      </c>
    </row>
    <row r="724" spans="3:4">
      <c r="C724">
        <v>714</v>
      </c>
      <c r="D724" s="905" t="s">
        <v>1312</v>
      </c>
    </row>
    <row r="725" spans="3:4">
      <c r="C725">
        <v>715</v>
      </c>
      <c r="D725" s="903" t="s">
        <v>1313</v>
      </c>
    </row>
    <row r="726" spans="3:4">
      <c r="C726">
        <v>716</v>
      </c>
      <c r="D726" s="903" t="s">
        <v>1314</v>
      </c>
    </row>
    <row r="727" spans="3:4">
      <c r="C727">
        <v>717</v>
      </c>
      <c r="D727" s="903" t="s">
        <v>1317</v>
      </c>
    </row>
    <row r="728" spans="3:4">
      <c r="C728">
        <v>718</v>
      </c>
      <c r="D728" s="903" t="s">
        <v>1319</v>
      </c>
    </row>
    <row r="729" spans="3:4">
      <c r="C729">
        <v>719</v>
      </c>
      <c r="D729" s="903" t="s">
        <v>1320</v>
      </c>
    </row>
    <row r="730" spans="3:4">
      <c r="C730">
        <v>720</v>
      </c>
      <c r="D730" s="903" t="s">
        <v>1321</v>
      </c>
    </row>
    <row r="731" spans="3:4">
      <c r="C731">
        <v>721</v>
      </c>
      <c r="D731" s="903" t="s">
        <v>1322</v>
      </c>
    </row>
    <row r="732" spans="3:4">
      <c r="C732">
        <v>722</v>
      </c>
      <c r="D732" s="903" t="s">
        <v>1323</v>
      </c>
    </row>
    <row r="733" spans="3:4">
      <c r="C733">
        <v>723</v>
      </c>
      <c r="D733" s="903" t="s">
        <v>1326</v>
      </c>
    </row>
    <row r="734" spans="3:4">
      <c r="C734">
        <v>724</v>
      </c>
      <c r="D734" s="357" t="s">
        <v>1327</v>
      </c>
    </row>
    <row r="735" spans="3:4">
      <c r="C735">
        <v>725</v>
      </c>
      <c r="D735" s="903" t="s">
        <v>1329</v>
      </c>
    </row>
    <row r="736" spans="3:4">
      <c r="C736">
        <v>726</v>
      </c>
      <c r="D736" s="903" t="s">
        <v>1332</v>
      </c>
    </row>
    <row r="737" spans="3:4">
      <c r="C737">
        <v>727</v>
      </c>
      <c r="D737" t="s">
        <v>1331</v>
      </c>
    </row>
    <row r="738" spans="3:4">
      <c r="C738">
        <v>728</v>
      </c>
      <c r="D738" s="903" t="s">
        <v>1332</v>
      </c>
    </row>
    <row r="739" spans="3:4">
      <c r="C739">
        <v>729</v>
      </c>
      <c r="D739" s="903" t="s">
        <v>1333</v>
      </c>
    </row>
    <row r="740" spans="3:4">
      <c r="C740">
        <v>730</v>
      </c>
      <c r="D740" s="903" t="s">
        <v>1337</v>
      </c>
    </row>
    <row r="741" spans="3:4">
      <c r="C741">
        <v>731</v>
      </c>
      <c r="D741" s="903" t="s">
        <v>1338</v>
      </c>
    </row>
    <row r="742" spans="3:4">
      <c r="C742">
        <v>732</v>
      </c>
      <c r="D742" s="903" t="s">
        <v>1339</v>
      </c>
    </row>
    <row r="743" spans="3:4">
      <c r="C743">
        <v>733</v>
      </c>
      <c r="D743" s="903" t="s">
        <v>1340</v>
      </c>
    </row>
    <row r="744" spans="3:4">
      <c r="C744">
        <v>734</v>
      </c>
      <c r="D744" s="903" t="s">
        <v>1341</v>
      </c>
    </row>
    <row r="745" spans="3:4">
      <c r="C745">
        <v>735</v>
      </c>
      <c r="D745" s="903" t="s">
        <v>1342</v>
      </c>
    </row>
    <row r="746" spans="3:4">
      <c r="C746">
        <v>736</v>
      </c>
      <c r="D746" s="903" t="s">
        <v>1343</v>
      </c>
    </row>
    <row r="747" spans="3:4">
      <c r="C747">
        <v>737</v>
      </c>
      <c r="D747" s="903" t="s">
        <v>1344</v>
      </c>
    </row>
    <row r="748" spans="3:4">
      <c r="C748">
        <v>738</v>
      </c>
      <c r="D748" s="915" t="s">
        <v>1345</v>
      </c>
    </row>
    <row r="749" spans="3:4">
      <c r="C749">
        <v>739</v>
      </c>
      <c r="D749" s="915" t="s">
        <v>1346</v>
      </c>
    </row>
    <row r="750" spans="3:4">
      <c r="C750">
        <v>740</v>
      </c>
      <c r="D750" s="903" t="s">
        <v>1347</v>
      </c>
    </row>
    <row r="751" spans="3:4">
      <c r="C751">
        <v>741</v>
      </c>
      <c r="D751" s="903" t="s">
        <v>1348</v>
      </c>
    </row>
    <row r="752" spans="3:4">
      <c r="C752">
        <v>742</v>
      </c>
      <c r="D752" s="903" t="s">
        <v>1349</v>
      </c>
    </row>
    <row r="753" spans="3:4">
      <c r="C753">
        <v>743</v>
      </c>
      <c r="D753" s="903" t="s">
        <v>1350</v>
      </c>
    </row>
    <row r="754" spans="3:4">
      <c r="C754">
        <v>744</v>
      </c>
      <c r="D754" s="903" t="s">
        <v>1474</v>
      </c>
    </row>
    <row r="755" spans="3:4">
      <c r="C755">
        <v>745</v>
      </c>
      <c r="D755" s="903" t="s">
        <v>1455</v>
      </c>
    </row>
    <row r="756" spans="3:4">
      <c r="C756">
        <v>746</v>
      </c>
      <c r="D756" s="903" t="s">
        <v>1351</v>
      </c>
    </row>
    <row r="757" spans="3:4">
      <c r="C757">
        <v>747</v>
      </c>
      <c r="D757" s="903" t="s">
        <v>1372</v>
      </c>
    </row>
    <row r="758" spans="3:4">
      <c r="C758">
        <v>748</v>
      </c>
      <c r="D758" s="903" t="s">
        <v>1319</v>
      </c>
    </row>
    <row r="759" spans="3:4">
      <c r="C759">
        <v>749</v>
      </c>
      <c r="D759" s="903" t="s">
        <v>1373</v>
      </c>
    </row>
    <row r="760" spans="3:4">
      <c r="C760">
        <v>750</v>
      </c>
      <c r="D760" s="76" t="s">
        <v>1375</v>
      </c>
    </row>
    <row r="761" spans="3:4">
      <c r="C761">
        <v>751</v>
      </c>
      <c r="D761" s="364" t="s">
        <v>1087</v>
      </c>
    </row>
    <row r="762" spans="3:4">
      <c r="C762">
        <v>752</v>
      </c>
      <c r="D762" s="364" t="s">
        <v>1376</v>
      </c>
    </row>
    <row r="763" spans="3:4">
      <c r="C763">
        <v>753</v>
      </c>
      <c r="D763" s="903" t="s">
        <v>1377</v>
      </c>
    </row>
    <row r="764" spans="3:4">
      <c r="C764">
        <v>754</v>
      </c>
      <c r="D764" s="903" t="s">
        <v>1378</v>
      </c>
    </row>
    <row r="765" spans="3:4">
      <c r="C765">
        <v>755</v>
      </c>
      <c r="D765" s="364" t="s">
        <v>1379</v>
      </c>
    </row>
    <row r="766" spans="3:4">
      <c r="C766">
        <v>756</v>
      </c>
      <c r="D766" s="903" t="s">
        <v>1380</v>
      </c>
    </row>
    <row r="767" spans="3:4">
      <c r="C767">
        <v>757</v>
      </c>
      <c r="D767" s="903" t="s">
        <v>1382</v>
      </c>
    </row>
    <row r="768" spans="3:4">
      <c r="C768">
        <v>758</v>
      </c>
      <c r="D768" s="879" t="s">
        <v>1383</v>
      </c>
    </row>
    <row r="769" spans="3:4">
      <c r="C769">
        <v>759</v>
      </c>
      <c r="D769" s="364" t="s">
        <v>1384</v>
      </c>
    </row>
    <row r="770" spans="3:4">
      <c r="C770">
        <v>760</v>
      </c>
      <c r="D770" s="364"/>
    </row>
    <row r="771" spans="3:4">
      <c r="C771">
        <v>761</v>
      </c>
      <c r="D771" s="903" t="s">
        <v>1386</v>
      </c>
    </row>
    <row r="772" spans="3:4">
      <c r="C772">
        <v>762</v>
      </c>
      <c r="D772" s="903" t="s">
        <v>1394</v>
      </c>
    </row>
    <row r="773" spans="3:4">
      <c r="C773">
        <v>763</v>
      </c>
      <c r="D773" s="903" t="s">
        <v>1395</v>
      </c>
    </row>
    <row r="774" spans="3:4">
      <c r="C774">
        <v>764</v>
      </c>
      <c r="D774" s="903" t="s">
        <v>1387</v>
      </c>
    </row>
    <row r="775" spans="3:4">
      <c r="C775">
        <v>765</v>
      </c>
      <c r="D775" s="903" t="s">
        <v>1388</v>
      </c>
    </row>
    <row r="776" spans="3:4">
      <c r="C776">
        <v>766</v>
      </c>
      <c r="D776" s="903" t="s">
        <v>1389</v>
      </c>
    </row>
    <row r="777" spans="3:4">
      <c r="C777">
        <v>767</v>
      </c>
      <c r="D777" s="903" t="s">
        <v>1390</v>
      </c>
    </row>
    <row r="778" spans="3:4">
      <c r="C778">
        <v>768</v>
      </c>
      <c r="D778" s="903" t="s">
        <v>1391</v>
      </c>
    </row>
    <row r="779" spans="3:4">
      <c r="C779">
        <v>769</v>
      </c>
      <c r="D779" s="364" t="s">
        <v>1392</v>
      </c>
    </row>
    <row r="780" spans="3:4">
      <c r="C780">
        <v>770</v>
      </c>
      <c r="D780" s="364" t="s">
        <v>1397</v>
      </c>
    </row>
    <row r="781" spans="3:4">
      <c r="C781">
        <v>771</v>
      </c>
      <c r="D781" s="364" t="s">
        <v>1396</v>
      </c>
    </row>
    <row r="782" spans="3:4">
      <c r="C782">
        <v>772</v>
      </c>
      <c r="D782" s="364" t="s">
        <v>1399</v>
      </c>
    </row>
    <row r="783" spans="3:4">
      <c r="C783">
        <v>773</v>
      </c>
      <c r="D783" s="916" t="s">
        <v>1400</v>
      </c>
    </row>
    <row r="784" spans="3:4">
      <c r="C784">
        <v>774</v>
      </c>
      <c r="D784" s="363" t="s">
        <v>1401</v>
      </c>
    </row>
    <row r="785" spans="3:4">
      <c r="C785">
        <v>775</v>
      </c>
      <c r="D785" s="363" t="s">
        <v>1402</v>
      </c>
    </row>
    <row r="786" spans="3:4">
      <c r="C786">
        <v>776</v>
      </c>
      <c r="D786" s="363" t="s">
        <v>1404</v>
      </c>
    </row>
    <row r="787" spans="3:4">
      <c r="C787">
        <v>777</v>
      </c>
      <c r="D787" s="363" t="s">
        <v>1405</v>
      </c>
    </row>
    <row r="788" spans="3:4">
      <c r="C788">
        <v>778</v>
      </c>
      <c r="D788" s="363" t="s">
        <v>1406</v>
      </c>
    </row>
    <row r="789" spans="3:4">
      <c r="C789">
        <v>779</v>
      </c>
      <c r="D789" s="364" t="s">
        <v>1408</v>
      </c>
    </row>
    <row r="790" spans="3:4" ht="13.25">
      <c r="C790">
        <v>780</v>
      </c>
      <c r="D790" s="906" t="s">
        <v>1409</v>
      </c>
    </row>
    <row r="791" spans="3:4" ht="13.25">
      <c r="C791">
        <v>781</v>
      </c>
      <c r="D791" s="909" t="s">
        <v>1410</v>
      </c>
    </row>
    <row r="792" spans="3:4">
      <c r="C792">
        <v>782</v>
      </c>
      <c r="D792" s="879" t="s">
        <v>1411</v>
      </c>
    </row>
    <row r="793" spans="3:4">
      <c r="C793">
        <v>783</v>
      </c>
      <c r="D793" s="364" t="s">
        <v>1413</v>
      </c>
    </row>
    <row r="794" spans="3:4">
      <c r="C794">
        <v>784</v>
      </c>
      <c r="D794" s="903" t="s">
        <v>1415</v>
      </c>
    </row>
    <row r="795" spans="3:4">
      <c r="C795">
        <v>785</v>
      </c>
      <c r="D795" s="903" t="s">
        <v>1416</v>
      </c>
    </row>
    <row r="796" spans="3:4">
      <c r="C796">
        <v>786</v>
      </c>
      <c r="D796" s="903" t="s">
        <v>1417</v>
      </c>
    </row>
    <row r="797" spans="3:4">
      <c r="C797">
        <v>787</v>
      </c>
      <c r="D797" s="903" t="s">
        <v>1418</v>
      </c>
    </row>
    <row r="798" spans="3:4">
      <c r="C798">
        <v>788</v>
      </c>
      <c r="D798" s="903" t="s">
        <v>1419</v>
      </c>
    </row>
    <row r="799" spans="3:4">
      <c r="C799">
        <v>789</v>
      </c>
      <c r="D799" s="903" t="s">
        <v>1420</v>
      </c>
    </row>
    <row r="800" spans="3:4">
      <c r="C800">
        <v>790</v>
      </c>
      <c r="D800" s="903" t="s">
        <v>1421</v>
      </c>
    </row>
    <row r="801" spans="3:4">
      <c r="C801">
        <v>791</v>
      </c>
      <c r="D801" s="903" t="s">
        <v>1422</v>
      </c>
    </row>
    <row r="802" spans="3:4">
      <c r="C802">
        <v>792</v>
      </c>
      <c r="D802" s="903" t="s">
        <v>1423</v>
      </c>
    </row>
    <row r="803" spans="3:4">
      <c r="C803">
        <v>793</v>
      </c>
      <c r="D803" s="364" t="s">
        <v>1495</v>
      </c>
    </row>
    <row r="804" spans="3:4">
      <c r="C804">
        <v>794</v>
      </c>
      <c r="D804" s="903" t="s">
        <v>1432</v>
      </c>
    </row>
    <row r="805" spans="3:4">
      <c r="C805">
        <v>795</v>
      </c>
      <c r="D805" t="s">
        <v>1435</v>
      </c>
    </row>
    <row r="806" spans="3:4">
      <c r="C806">
        <v>796</v>
      </c>
      <c r="D806" s="903" t="s">
        <v>1436</v>
      </c>
    </row>
    <row r="807" spans="3:4">
      <c r="C807">
        <v>797</v>
      </c>
      <c r="D807" s="903" t="s">
        <v>1437</v>
      </c>
    </row>
    <row r="808" spans="3:4">
      <c r="C808">
        <v>798</v>
      </c>
      <c r="D808" s="903" t="s">
        <v>1438</v>
      </c>
    </row>
    <row r="809" spans="3:4">
      <c r="C809">
        <v>799</v>
      </c>
      <c r="D809" s="903" t="s">
        <v>1439</v>
      </c>
    </row>
    <row r="810" spans="3:4">
      <c r="C810">
        <v>800</v>
      </c>
      <c r="D810" s="903" t="s">
        <v>1440</v>
      </c>
    </row>
    <row r="811" spans="3:4">
      <c r="C811">
        <v>801</v>
      </c>
      <c r="D811" s="903" t="s">
        <v>1441</v>
      </c>
    </row>
    <row r="812" spans="3:4">
      <c r="C812">
        <v>802</v>
      </c>
      <c r="D812" s="903" t="s">
        <v>1442</v>
      </c>
    </row>
    <row r="813" spans="3:4">
      <c r="C813">
        <v>803</v>
      </c>
      <c r="D813" s="903" t="s">
        <v>1443</v>
      </c>
    </row>
    <row r="814" spans="3:4">
      <c r="C814">
        <v>804</v>
      </c>
      <c r="D814" s="903" t="s">
        <v>1444</v>
      </c>
    </row>
    <row r="815" spans="3:4">
      <c r="C815">
        <v>805</v>
      </c>
      <c r="D815" s="903" t="s">
        <v>1445</v>
      </c>
    </row>
    <row r="816" spans="3:4">
      <c r="C816">
        <v>806</v>
      </c>
      <c r="D816" s="903" t="s">
        <v>1446</v>
      </c>
    </row>
    <row r="817" spans="3:4">
      <c r="C817">
        <v>807</v>
      </c>
      <c r="D817" s="903" t="s">
        <v>1447</v>
      </c>
    </row>
    <row r="818" spans="3:4">
      <c r="C818">
        <v>808</v>
      </c>
      <c r="D818" s="903" t="s">
        <v>1449</v>
      </c>
    </row>
    <row r="819" spans="3:4">
      <c r="C819">
        <v>809</v>
      </c>
      <c r="D819" s="76" t="s">
        <v>1450</v>
      </c>
    </row>
    <row r="820" spans="3:4">
      <c r="C820">
        <v>810</v>
      </c>
      <c r="D820" s="364" t="s">
        <v>1452</v>
      </c>
    </row>
    <row r="821" spans="3:4">
      <c r="C821">
        <v>811</v>
      </c>
      <c r="D821" s="903" t="s">
        <v>1453</v>
      </c>
    </row>
    <row r="822" spans="3:4">
      <c r="C822">
        <v>812</v>
      </c>
      <c r="D822" s="903" t="s">
        <v>1454</v>
      </c>
    </row>
    <row r="823" spans="3:4">
      <c r="C823">
        <v>813</v>
      </c>
      <c r="D823" s="903" t="s">
        <v>1398</v>
      </c>
    </row>
    <row r="824" spans="3:4">
      <c r="C824">
        <v>814</v>
      </c>
      <c r="D824" s="903" t="s">
        <v>1457</v>
      </c>
    </row>
    <row r="825" spans="3:4">
      <c r="C825">
        <v>815</v>
      </c>
      <c r="D825" s="903" t="s">
        <v>1458</v>
      </c>
    </row>
    <row r="826" spans="3:4">
      <c r="C826">
        <v>816</v>
      </c>
      <c r="D826" s="903" t="s">
        <v>1459</v>
      </c>
    </row>
    <row r="827" spans="3:4">
      <c r="C827">
        <v>817</v>
      </c>
      <c r="D827" s="903" t="s">
        <v>1461</v>
      </c>
    </row>
    <row r="828" spans="3:4">
      <c r="C828">
        <v>818</v>
      </c>
      <c r="D828" s="364" t="s">
        <v>1471</v>
      </c>
    </row>
    <row r="829" spans="3:4">
      <c r="C829">
        <v>819</v>
      </c>
      <c r="D829" s="364" t="s">
        <v>1564</v>
      </c>
    </row>
    <row r="830" spans="3:4">
      <c r="C830">
        <v>820</v>
      </c>
      <c r="D830" s="364" t="s">
        <v>1472</v>
      </c>
    </row>
    <row r="831" spans="3:4">
      <c r="C831">
        <v>821</v>
      </c>
      <c r="D831" s="364" t="s">
        <v>1478</v>
      </c>
    </row>
    <row r="832" spans="3:4">
      <c r="C832">
        <v>822</v>
      </c>
      <c r="D832" s="364" t="s">
        <v>1479</v>
      </c>
    </row>
    <row r="833" spans="3:4">
      <c r="C833">
        <v>823</v>
      </c>
      <c r="D833" s="364" t="s">
        <v>1480</v>
      </c>
    </row>
    <row r="834" spans="3:4">
      <c r="C834">
        <v>824</v>
      </c>
      <c r="D834" s="903" t="s">
        <v>1483</v>
      </c>
    </row>
    <row r="835" spans="3:4">
      <c r="C835">
        <v>825</v>
      </c>
      <c r="D835" s="364" t="s">
        <v>1484</v>
      </c>
    </row>
    <row r="836" spans="3:4">
      <c r="C836">
        <v>826</v>
      </c>
      <c r="D836" s="364" t="s">
        <v>644</v>
      </c>
    </row>
    <row r="837" spans="3:4">
      <c r="C837">
        <v>827</v>
      </c>
      <c r="D837" s="364" t="s">
        <v>1485</v>
      </c>
    </row>
    <row r="838" spans="3:4">
      <c r="C838">
        <v>828</v>
      </c>
      <c r="D838" s="364" t="s">
        <v>1486</v>
      </c>
    </row>
    <row r="839" spans="3:4">
      <c r="C839">
        <v>829</v>
      </c>
      <c r="D839" s="364" t="s">
        <v>1487</v>
      </c>
    </row>
    <row r="840" spans="3:4">
      <c r="C840">
        <v>830</v>
      </c>
      <c r="D840" t="s">
        <v>1490</v>
      </c>
    </row>
    <row r="841" spans="3:4">
      <c r="C841">
        <v>831</v>
      </c>
      <c r="D841" s="903" t="s">
        <v>1491</v>
      </c>
    </row>
    <row r="842" spans="3:4">
      <c r="C842">
        <v>832</v>
      </c>
      <c r="D842" s="76" t="s">
        <v>1492</v>
      </c>
    </row>
    <row r="843" spans="3:4">
      <c r="C843">
        <v>833</v>
      </c>
      <c r="D843" s="364" t="s">
        <v>1493</v>
      </c>
    </row>
    <row r="844" spans="3:4">
      <c r="C844">
        <v>834</v>
      </c>
      <c r="D844" s="364" t="s">
        <v>1494</v>
      </c>
    </row>
    <row r="845" spans="3:4">
      <c r="C845">
        <v>835</v>
      </c>
      <c r="D845" s="903" t="s">
        <v>1496</v>
      </c>
    </row>
    <row r="846" spans="3:4">
      <c r="C846">
        <v>836</v>
      </c>
      <c r="D846" s="903" t="s">
        <v>1497</v>
      </c>
    </row>
    <row r="847" spans="3:4">
      <c r="C847">
        <v>837</v>
      </c>
      <c r="D847" s="914" t="s">
        <v>1499</v>
      </c>
    </row>
    <row r="848" spans="3:4">
      <c r="C848">
        <v>838</v>
      </c>
      <c r="D848" s="903" t="s">
        <v>1500</v>
      </c>
    </row>
    <row r="849" spans="3:4">
      <c r="C849">
        <v>839</v>
      </c>
      <c r="D849" s="903" t="s">
        <v>1502</v>
      </c>
    </row>
    <row r="850" spans="3:4">
      <c r="C850">
        <v>840</v>
      </c>
      <c r="D850" s="903" t="s">
        <v>1507</v>
      </c>
    </row>
    <row r="851" spans="3:4">
      <c r="C851">
        <v>841</v>
      </c>
      <c r="D851" s="903" t="s">
        <v>1509</v>
      </c>
    </row>
    <row r="852" spans="3:4">
      <c r="C852">
        <v>842</v>
      </c>
      <c r="D852" t="s">
        <v>1510</v>
      </c>
    </row>
    <row r="853" spans="3:4">
      <c r="C853">
        <v>843</v>
      </c>
      <c r="D853" s="903" t="s">
        <v>1511</v>
      </c>
    </row>
    <row r="854" spans="3:4">
      <c r="C854">
        <v>844</v>
      </c>
      <c r="D854" s="903" t="s">
        <v>1512</v>
      </c>
    </row>
    <row r="855" spans="3:4">
      <c r="C855">
        <v>845</v>
      </c>
      <c r="D855" s="364" t="s">
        <v>1513</v>
      </c>
    </row>
    <row r="856" spans="3:4">
      <c r="C856">
        <v>846</v>
      </c>
      <c r="D856" t="s">
        <v>1514</v>
      </c>
    </row>
    <row r="857" spans="3:4">
      <c r="C857">
        <v>847</v>
      </c>
      <c r="D857" s="364" t="s">
        <v>1515</v>
      </c>
    </row>
    <row r="858" spans="3:4">
      <c r="C858">
        <v>848</v>
      </c>
      <c r="D858" s="903" t="s">
        <v>1516</v>
      </c>
    </row>
    <row r="859" spans="3:4">
      <c r="C859">
        <v>849</v>
      </c>
      <c r="D859" s="903" t="s">
        <v>1517</v>
      </c>
    </row>
    <row r="860" spans="3:4">
      <c r="C860">
        <v>850</v>
      </c>
      <c r="D860" s="903" t="s">
        <v>1518</v>
      </c>
    </row>
    <row r="861" spans="3:4">
      <c r="C861">
        <v>851</v>
      </c>
      <c r="D861" s="903" t="s">
        <v>1519</v>
      </c>
    </row>
    <row r="862" spans="3:4">
      <c r="C862">
        <v>852</v>
      </c>
      <c r="D862" s="903" t="s">
        <v>1520</v>
      </c>
    </row>
    <row r="863" spans="3:4">
      <c r="C863">
        <v>853</v>
      </c>
      <c r="D863" s="903" t="s">
        <v>1521</v>
      </c>
    </row>
    <row r="864" spans="3:4">
      <c r="C864">
        <v>854</v>
      </c>
      <c r="D864" s="903" t="s">
        <v>1522</v>
      </c>
    </row>
    <row r="865" spans="3:4">
      <c r="C865">
        <v>855</v>
      </c>
      <c r="D865" s="903" t="s">
        <v>1529</v>
      </c>
    </row>
    <row r="866" spans="3:4">
      <c r="C866">
        <v>856</v>
      </c>
      <c r="D866" s="903" t="s">
        <v>1530</v>
      </c>
    </row>
    <row r="867" spans="3:4">
      <c r="C867">
        <v>857</v>
      </c>
      <c r="D867" s="903" t="s">
        <v>1531</v>
      </c>
    </row>
    <row r="868" spans="3:4">
      <c r="C868">
        <v>858</v>
      </c>
      <c r="D868" s="903" t="s">
        <v>1532</v>
      </c>
    </row>
    <row r="869" spans="3:4">
      <c r="C869">
        <v>859</v>
      </c>
      <c r="D869" s="903" t="s">
        <v>1533</v>
      </c>
    </row>
    <row r="870" spans="3:4">
      <c r="C870">
        <v>860</v>
      </c>
      <c r="D870" s="903" t="s">
        <v>1534</v>
      </c>
    </row>
    <row r="871" spans="3:4">
      <c r="C871">
        <v>861</v>
      </c>
      <c r="D871" s="364" t="s">
        <v>1537</v>
      </c>
    </row>
    <row r="872" spans="3:4">
      <c r="C872">
        <v>862</v>
      </c>
      <c r="D872" s="364" t="s">
        <v>1536</v>
      </c>
    </row>
    <row r="873" spans="3:4">
      <c r="C873">
        <v>863</v>
      </c>
      <c r="D873" s="363" t="s">
        <v>1539</v>
      </c>
    </row>
    <row r="874" spans="3:4">
      <c r="C874">
        <v>864</v>
      </c>
      <c r="D874" s="363" t="s">
        <v>1540</v>
      </c>
    </row>
    <row r="875" spans="3:4">
      <c r="C875">
        <v>865</v>
      </c>
      <c r="D875" s="364" t="s">
        <v>1541</v>
      </c>
    </row>
    <row r="876" spans="3:4">
      <c r="C876">
        <v>866</v>
      </c>
      <c r="D876" s="903" t="s">
        <v>1542</v>
      </c>
    </row>
    <row r="877" spans="3:4">
      <c r="C877">
        <v>867</v>
      </c>
      <c r="D877" s="903" t="s">
        <v>1543</v>
      </c>
    </row>
    <row r="878" spans="3:4">
      <c r="C878">
        <v>868</v>
      </c>
      <c r="D878" s="903" t="s">
        <v>1544</v>
      </c>
    </row>
    <row r="879" spans="3:4">
      <c r="C879">
        <v>869</v>
      </c>
      <c r="D879" s="903" t="s">
        <v>1545</v>
      </c>
    </row>
    <row r="880" spans="3:4">
      <c r="C880">
        <v>870</v>
      </c>
      <c r="D880" s="903" t="s">
        <v>1550</v>
      </c>
    </row>
    <row r="881" spans="3:4">
      <c r="C881">
        <v>871</v>
      </c>
      <c r="D881" s="918" t="s">
        <v>1568</v>
      </c>
    </row>
    <row r="882" spans="3:4">
      <c r="C882">
        <v>872</v>
      </c>
      <c r="D882" s="639" t="s">
        <v>1569</v>
      </c>
    </row>
    <row r="883" spans="3:4">
      <c r="C883">
        <v>873</v>
      </c>
      <c r="D883" s="363" t="s">
        <v>1570</v>
      </c>
    </row>
    <row r="884" spans="3:4">
      <c r="C884">
        <v>874</v>
      </c>
      <c r="D884" s="903" t="s">
        <v>1571</v>
      </c>
    </row>
    <row r="885" spans="3:4">
      <c r="C885">
        <v>875</v>
      </c>
      <c r="D885" s="364" t="s">
        <v>1572</v>
      </c>
    </row>
    <row r="886" spans="3:4">
      <c r="C886">
        <v>876</v>
      </c>
      <c r="D886" s="363" t="s">
        <v>1573</v>
      </c>
    </row>
    <row r="887" spans="3:4">
      <c r="C887">
        <v>877</v>
      </c>
      <c r="D887" s="918" t="s">
        <v>1574</v>
      </c>
    </row>
    <row r="888" spans="3:4">
      <c r="C888">
        <v>878</v>
      </c>
      <c r="D888" s="919" t="s">
        <v>1575</v>
      </c>
    </row>
    <row r="889" spans="3:4">
      <c r="C889">
        <v>879</v>
      </c>
      <c r="D889" s="903" t="s">
        <v>1576</v>
      </c>
    </row>
    <row r="890" spans="3:4">
      <c r="C890">
        <v>880</v>
      </c>
      <c r="D890" s="903" t="s">
        <v>1577</v>
      </c>
    </row>
    <row r="891" spans="3:4">
      <c r="C891">
        <v>881</v>
      </c>
      <c r="D891" s="903" t="s">
        <v>1578</v>
      </c>
    </row>
    <row r="892" spans="3:4">
      <c r="C892">
        <v>882</v>
      </c>
      <c r="D892" s="903" t="s">
        <v>1579</v>
      </c>
    </row>
    <row r="893" spans="3:4">
      <c r="C893">
        <v>883</v>
      </c>
      <c r="D893" s="903" t="s">
        <v>1580</v>
      </c>
    </row>
    <row r="894" spans="3:4">
      <c r="C894">
        <v>884</v>
      </c>
      <c r="D894" s="363" t="s">
        <v>1593</v>
      </c>
    </row>
    <row r="895" spans="3:4">
      <c r="C895">
        <v>885</v>
      </c>
      <c r="D895" s="903" t="s">
        <v>1581</v>
      </c>
    </row>
    <row r="896" spans="3:4">
      <c r="C896">
        <v>886</v>
      </c>
      <c r="D896" s="364" t="s">
        <v>1582</v>
      </c>
    </row>
    <row r="897" spans="1:4">
      <c r="C897">
        <v>887</v>
      </c>
      <c r="D897" s="364" t="s">
        <v>1583</v>
      </c>
    </row>
    <row r="898" spans="1:4">
      <c r="C898">
        <v>888</v>
      </c>
      <c r="D898" s="903" t="s">
        <v>1584</v>
      </c>
    </row>
    <row r="899" spans="1:4">
      <c r="C899">
        <v>889</v>
      </c>
      <c r="D899" s="364" t="s">
        <v>1585</v>
      </c>
    </row>
    <row r="900" spans="1:4">
      <c r="C900">
        <v>890</v>
      </c>
      <c r="D900" s="364" t="s">
        <v>1586</v>
      </c>
    </row>
    <row r="901" spans="1:4">
      <c r="C901">
        <v>891</v>
      </c>
      <c r="D901" s="364" t="s">
        <v>1587</v>
      </c>
    </row>
    <row r="902" spans="1:4">
      <c r="C902">
        <v>892</v>
      </c>
      <c r="D902" s="364" t="s">
        <v>1588</v>
      </c>
    </row>
    <row r="903" spans="1:4">
      <c r="C903">
        <v>893</v>
      </c>
      <c r="D903" s="364" t="s">
        <v>1589</v>
      </c>
    </row>
    <row r="904" spans="1:4">
      <c r="C904">
        <v>894</v>
      </c>
      <c r="D904" s="879" t="s">
        <v>1590</v>
      </c>
    </row>
    <row r="905" spans="1:4">
      <c r="C905">
        <v>895</v>
      </c>
      <c r="D905" s="364" t="s">
        <v>1591</v>
      </c>
    </row>
    <row r="906" spans="1:4">
      <c r="C906">
        <v>896</v>
      </c>
      <c r="D906" s="364" t="s">
        <v>1594</v>
      </c>
    </row>
    <row r="907" spans="1:4">
      <c r="C907">
        <v>897</v>
      </c>
      <c r="D907" s="363"/>
    </row>
    <row r="908" spans="1:4">
      <c r="C908">
        <v>898</v>
      </c>
      <c r="D908" s="363"/>
    </row>
    <row r="909" spans="1:4">
      <c r="C909">
        <v>899</v>
      </c>
    </row>
    <row r="910" spans="1:4">
      <c r="C910">
        <v>900</v>
      </c>
    </row>
    <row r="911" spans="1:4">
      <c r="A911" t="s">
        <v>1016</v>
      </c>
    </row>
  </sheetData>
  <mergeCells count="1">
    <mergeCell ref="E11:E14"/>
  </mergeCells>
  <dataValidations disablePrompts="1" count="1">
    <dataValidation type="list" allowBlank="1" showInputMessage="1" showErrorMessage="1" sqref="I11" xr:uid="{00000000-0002-0000-0600-000000000000}">
      <formula1>$H$15:$H$19</formula1>
    </dataValidation>
  </dataValidations>
  <hyperlinks>
    <hyperlink ref="I15" r:id="rId1" xr:uid="{00000000-0004-0000-0600-000000000000}"/>
    <hyperlink ref="I17" r:id="rId2" xr:uid="{00000000-0004-0000-0600-000001000000}"/>
    <hyperlink ref="I18" r:id="rId3" xr:uid="{00000000-0004-0000-0600-000002000000}"/>
    <hyperlink ref="I16" r:id="rId4" xr:uid="{00000000-0004-0000-0600-000003000000}"/>
    <hyperlink ref="I19" r:id="rId5" xr:uid="{00000000-0004-0000-0600-000004000000}"/>
  </hyperlinks>
  <pageMargins left="0.7" right="0.7" top="0.78740157499999996" bottom="0.78740157499999996"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rgb="FFC00000"/>
  </sheetPr>
  <dimension ref="A1:AY698"/>
  <sheetViews>
    <sheetView showGridLines="0" showRowColHeaders="0" showZeros="0" showOutlineSymbols="0" zoomScale="85" zoomScaleNormal="85" zoomScaleSheetLayoutView="85" workbookViewId="0">
      <selection activeCell="AA697" sqref="AA697"/>
    </sheetView>
  </sheetViews>
  <sheetFormatPr baseColWidth="10" defaultColWidth="11.33203125" defaultRowHeight="12.7"/>
  <cols>
    <col min="1" max="1" width="1.33203125" style="65" customWidth="1"/>
    <col min="2" max="4" width="12" style="65" customWidth="1"/>
    <col min="5" max="5" width="5.109375" style="65" customWidth="1"/>
    <col min="6" max="6" width="0.33203125" style="65" customWidth="1"/>
    <col min="7" max="9" width="12" style="65" customWidth="1"/>
    <col min="10" max="10" width="6.6640625" style="65" customWidth="1"/>
    <col min="11" max="11" width="5" style="65" customWidth="1"/>
    <col min="12" max="12" width="143.33203125" style="65" customWidth="1"/>
    <col min="13" max="15" width="12" style="65" customWidth="1"/>
    <col min="16" max="16" width="5" style="65" customWidth="1"/>
    <col min="17" max="17" width="1.33203125" style="65" customWidth="1"/>
    <col min="18" max="20" width="12" style="65" customWidth="1"/>
    <col min="21" max="21" width="5" style="65" customWidth="1"/>
    <col min="22" max="22" width="1.33203125" style="65" customWidth="1"/>
    <col min="23" max="16384" width="11.33203125" style="65"/>
  </cols>
  <sheetData>
    <row r="1" spans="1:51">
      <c r="A1" s="349"/>
      <c r="B1" s="534" t="s">
        <v>54</v>
      </c>
      <c r="C1" s="1056"/>
      <c r="D1" s="1057"/>
      <c r="E1" s="1057"/>
      <c r="F1" s="1057"/>
      <c r="G1" s="1057"/>
      <c r="H1" s="536" t="s">
        <v>55</v>
      </c>
      <c r="I1" s="1061"/>
      <c r="J1" s="1062"/>
      <c r="K1" s="532"/>
      <c r="L1" s="402"/>
      <c r="M1" s="531"/>
      <c r="N1" s="531"/>
      <c r="O1" s="531"/>
      <c r="P1" s="531"/>
      <c r="Q1" s="531"/>
      <c r="R1" s="531"/>
      <c r="S1" s="531"/>
      <c r="T1" s="531"/>
      <c r="U1" s="531"/>
      <c r="V1" s="531"/>
      <c r="W1" s="531"/>
      <c r="X1" s="531"/>
      <c r="Y1" s="531"/>
      <c r="Z1" s="531"/>
    </row>
    <row r="2" spans="1:51">
      <c r="A2" s="352"/>
      <c r="B2" s="417" t="s">
        <v>56</v>
      </c>
      <c r="C2" s="1058"/>
      <c r="D2" s="1059"/>
      <c r="E2" s="1059"/>
      <c r="F2" s="1059"/>
      <c r="G2" s="1059"/>
      <c r="H2" s="537" t="s">
        <v>57</v>
      </c>
      <c r="I2" s="1061"/>
      <c r="J2" s="1062"/>
      <c r="K2" s="532"/>
      <c r="L2" s="402"/>
      <c r="M2" s="239"/>
      <c r="N2" s="239"/>
      <c r="O2" s="239"/>
      <c r="P2" s="239"/>
      <c r="Q2" s="239"/>
      <c r="R2" s="239"/>
      <c r="S2" s="239"/>
      <c r="T2" s="239"/>
      <c r="U2" s="239"/>
      <c r="V2" s="239"/>
      <c r="W2" s="239"/>
      <c r="X2" s="239"/>
      <c r="Y2" s="239"/>
      <c r="Z2" s="239"/>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row>
    <row r="3" spans="1:51">
      <c r="A3" s="349"/>
      <c r="B3" s="534" t="s">
        <v>58</v>
      </c>
      <c r="C3" s="1056"/>
      <c r="D3" s="1057"/>
      <c r="E3" s="1057"/>
      <c r="F3" s="1057"/>
      <c r="G3" s="1057"/>
      <c r="H3" s="536" t="s">
        <v>59</v>
      </c>
      <c r="I3" s="1061"/>
      <c r="J3" s="1062"/>
      <c r="K3" s="532"/>
      <c r="L3" s="402"/>
      <c r="M3" s="239"/>
      <c r="N3" s="239"/>
      <c r="O3" s="239"/>
      <c r="P3" s="239"/>
      <c r="Q3" s="239"/>
      <c r="R3" s="239"/>
      <c r="S3" s="239"/>
      <c r="T3" s="239"/>
      <c r="U3" s="239"/>
      <c r="V3" s="239"/>
      <c r="W3" s="239"/>
      <c r="X3" s="239"/>
      <c r="Y3" s="239"/>
      <c r="Z3" s="239"/>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row>
    <row r="4" spans="1:51">
      <c r="A4" s="353"/>
      <c r="B4" s="535" t="s">
        <v>60</v>
      </c>
      <c r="C4" s="1060"/>
      <c r="D4" s="1060"/>
      <c r="E4" s="1060"/>
      <c r="F4" s="1060"/>
      <c r="G4" s="1060"/>
      <c r="H4" s="538" t="s">
        <v>61</v>
      </c>
      <c r="I4" s="1061"/>
      <c r="J4" s="1062"/>
      <c r="K4" s="532"/>
      <c r="L4" s="402"/>
      <c r="M4" s="239"/>
      <c r="N4" s="239"/>
      <c r="O4" s="239"/>
      <c r="P4" s="239"/>
      <c r="Q4" s="239"/>
      <c r="R4" s="239"/>
      <c r="S4" s="239"/>
      <c r="T4" s="239"/>
      <c r="U4" s="239"/>
      <c r="V4" s="239"/>
      <c r="W4" s="239"/>
      <c r="X4" s="239"/>
      <c r="Y4" s="239"/>
      <c r="Z4" s="239"/>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row>
    <row r="5" spans="1:51">
      <c r="A5" s="349"/>
      <c r="B5" s="535" t="s">
        <v>62</v>
      </c>
      <c r="C5" s="1067"/>
      <c r="D5" s="1060"/>
      <c r="E5" s="1060"/>
      <c r="F5" s="1060"/>
      <c r="G5" s="1060"/>
      <c r="H5" s="538" t="s">
        <v>63</v>
      </c>
      <c r="I5" s="1063">
        <f ca="1">TODAY()</f>
        <v>44102</v>
      </c>
      <c r="J5" s="1064"/>
      <c r="K5" s="532"/>
      <c r="L5" s="402"/>
      <c r="M5" s="239"/>
      <c r="N5" s="239"/>
      <c r="O5" s="239"/>
      <c r="P5" s="239"/>
      <c r="Q5" s="239"/>
      <c r="R5" s="239"/>
      <c r="S5" s="239"/>
      <c r="T5" s="239"/>
      <c r="U5" s="239"/>
      <c r="V5" s="239"/>
      <c r="W5" s="239"/>
      <c r="X5" s="239"/>
      <c r="Y5" s="239"/>
      <c r="Z5" s="239"/>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row>
    <row r="6" spans="1:51" s="1" customFormat="1">
      <c r="A6" s="402"/>
      <c r="B6" s="531"/>
      <c r="C6" s="529"/>
      <c r="D6" s="529"/>
      <c r="E6" s="529"/>
      <c r="F6" s="529"/>
      <c r="G6" s="529"/>
      <c r="H6" s="531"/>
      <c r="I6" s="531"/>
      <c r="J6" s="531"/>
      <c r="K6" s="402"/>
      <c r="L6" s="402"/>
      <c r="M6" s="239"/>
      <c r="N6" s="239"/>
      <c r="O6" s="239"/>
      <c r="P6" s="239"/>
      <c r="Q6" s="239"/>
      <c r="R6" s="239"/>
      <c r="S6" s="239"/>
      <c r="T6" s="239"/>
      <c r="U6" s="239"/>
      <c r="V6" s="239"/>
      <c r="W6" s="239"/>
      <c r="X6" s="239"/>
      <c r="Y6" s="239"/>
      <c r="Z6" s="239"/>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row>
    <row r="7" spans="1:51" s="1" customFormat="1" ht="27.65" customHeight="1">
      <c r="A7" s="402"/>
      <c r="B7" s="1051" t="s">
        <v>538</v>
      </c>
      <c r="C7" s="1051"/>
      <c r="D7" s="1051"/>
      <c r="E7" s="1051"/>
      <c r="F7" s="1051"/>
      <c r="G7" s="1051"/>
      <c r="H7" s="1051"/>
      <c r="I7" s="1051"/>
      <c r="J7" s="1051"/>
      <c r="K7" s="402"/>
      <c r="L7" s="531"/>
      <c r="M7" s="239"/>
      <c r="N7" s="239"/>
      <c r="O7" s="239"/>
      <c r="P7" s="239"/>
      <c r="Q7" s="239"/>
      <c r="R7" s="239"/>
      <c r="S7" s="239"/>
      <c r="T7" s="239"/>
      <c r="U7" s="239"/>
      <c r="V7" s="239"/>
      <c r="W7" s="239"/>
      <c r="X7" s="239"/>
      <c r="Y7" s="239"/>
      <c r="Z7" s="239"/>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row>
    <row r="8" spans="1:51" s="467" customFormat="1" ht="5.9" customHeight="1">
      <c r="A8" s="402"/>
      <c r="B8" s="533"/>
      <c r="C8" s="533"/>
      <c r="D8" s="533"/>
      <c r="E8" s="533"/>
      <c r="F8" s="533"/>
      <c r="G8" s="533"/>
      <c r="H8" s="533"/>
      <c r="I8" s="533"/>
      <c r="J8" s="533"/>
      <c r="K8" s="402"/>
      <c r="L8" s="531"/>
      <c r="M8" s="239"/>
      <c r="N8" s="239"/>
      <c r="O8" s="239"/>
      <c r="P8" s="239"/>
      <c r="Q8" s="239"/>
      <c r="R8" s="239"/>
      <c r="S8" s="239"/>
      <c r="T8" s="239"/>
      <c r="U8" s="239"/>
      <c r="V8" s="239"/>
      <c r="W8" s="239"/>
      <c r="X8" s="239"/>
      <c r="Y8" s="239"/>
      <c r="Z8" s="239"/>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row>
    <row r="9" spans="1:51" s="1" customFormat="1" ht="15.55">
      <c r="A9" s="470"/>
      <c r="B9" s="1065" t="s">
        <v>70</v>
      </c>
      <c r="C9" s="1065"/>
      <c r="D9" s="1065"/>
      <c r="E9" s="1065"/>
      <c r="F9" s="1065"/>
      <c r="G9" s="1065"/>
      <c r="H9" s="1065"/>
      <c r="I9" s="1065"/>
      <c r="J9" s="1066"/>
      <c r="K9" s="246"/>
      <c r="L9" s="402"/>
      <c r="M9" s="239"/>
      <c r="N9" s="239"/>
      <c r="O9" s="239"/>
      <c r="P9" s="239"/>
      <c r="Q9" s="239"/>
      <c r="R9" s="239"/>
      <c r="S9" s="239"/>
      <c r="T9" s="239"/>
      <c r="U9" s="239"/>
      <c r="V9" s="239"/>
      <c r="W9" s="239"/>
      <c r="X9" s="239"/>
      <c r="Y9" s="239"/>
      <c r="Z9" s="239"/>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row>
    <row r="10" spans="1:51" s="1" customFormat="1" ht="3.45" customHeight="1">
      <c r="A10" s="30"/>
      <c r="B10" s="402"/>
      <c r="C10" s="402"/>
      <c r="D10" s="525"/>
      <c r="E10" s="402"/>
      <c r="F10" s="402"/>
      <c r="G10" s="525"/>
      <c r="H10" s="402"/>
      <c r="I10" s="525"/>
      <c r="J10" s="31"/>
      <c r="K10" s="402"/>
      <c r="L10" s="402"/>
      <c r="M10" s="239"/>
      <c r="N10" s="239"/>
      <c r="O10" s="239"/>
      <c r="P10" s="239"/>
      <c r="Q10" s="239"/>
      <c r="R10" s="239"/>
      <c r="S10" s="239"/>
      <c r="T10" s="239"/>
      <c r="U10" s="239"/>
      <c r="V10" s="239"/>
      <c r="W10" s="239"/>
      <c r="X10" s="239"/>
      <c r="Y10" s="239"/>
      <c r="Z10" s="239"/>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row>
    <row r="11" spans="1:51" s="1" customFormat="1" ht="3.75" customHeight="1">
      <c r="A11" s="7"/>
      <c r="B11" s="518"/>
      <c r="C11" s="518"/>
      <c r="D11" s="3"/>
      <c r="E11" s="518"/>
      <c r="F11" s="518"/>
      <c r="G11" s="3"/>
      <c r="H11" s="518"/>
      <c r="I11" s="3"/>
      <c r="J11" s="8"/>
      <c r="K11" s="518"/>
      <c r="L11" s="518"/>
      <c r="M11" s="243"/>
      <c r="N11" s="239"/>
      <c r="O11" s="239"/>
      <c r="P11" s="239"/>
      <c r="Q11" s="239"/>
      <c r="R11" s="239"/>
      <c r="S11" s="239"/>
      <c r="T11" s="239"/>
      <c r="U11" s="239"/>
      <c r="V11" s="239"/>
      <c r="W11" s="239"/>
      <c r="X11" s="239"/>
      <c r="Y11" s="239"/>
      <c r="Z11" s="239"/>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row>
    <row r="12" spans="1:51" s="1" customFormat="1">
      <c r="A12" s="7"/>
      <c r="B12" s="518"/>
      <c r="C12" s="518"/>
      <c r="D12" s="3"/>
      <c r="E12" s="518"/>
      <c r="F12" s="518"/>
      <c r="G12" s="3"/>
      <c r="H12" s="518"/>
      <c r="I12" s="3"/>
      <c r="J12" s="8"/>
      <c r="K12" s="518"/>
      <c r="L12" s="518"/>
      <c r="M12" s="243"/>
      <c r="N12" s="239"/>
      <c r="O12" s="239"/>
      <c r="P12" s="239"/>
      <c r="Q12" s="239"/>
      <c r="R12" s="239"/>
      <c r="S12" s="239"/>
      <c r="T12" s="239"/>
      <c r="U12" s="239"/>
      <c r="V12" s="239"/>
      <c r="W12" s="239"/>
      <c r="X12" s="239"/>
      <c r="Y12" s="239"/>
      <c r="Z12" s="239"/>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row>
    <row r="13" spans="1:51" s="1" customFormat="1">
      <c r="A13" s="7"/>
      <c r="B13" s="518"/>
      <c r="C13" s="518"/>
      <c r="D13" s="3"/>
      <c r="E13" s="518"/>
      <c r="F13" s="518"/>
      <c r="G13" s="3"/>
      <c r="H13" s="518"/>
      <c r="I13" s="3"/>
      <c r="J13" s="8"/>
      <c r="K13" s="518"/>
      <c r="L13" s="518"/>
      <c r="M13" s="243"/>
      <c r="N13" s="239"/>
      <c r="O13" s="239"/>
      <c r="P13" s="239"/>
      <c r="Q13" s="239"/>
      <c r="R13" s="239"/>
      <c r="S13" s="239"/>
      <c r="T13" s="239"/>
      <c r="U13" s="239"/>
      <c r="V13" s="239"/>
      <c r="W13" s="239"/>
      <c r="X13" s="239"/>
      <c r="Y13" s="239"/>
      <c r="Z13" s="239"/>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row>
    <row r="14" spans="1:51" s="1" customFormat="1">
      <c r="A14" s="7"/>
      <c r="B14" s="518"/>
      <c r="C14" s="518"/>
      <c r="D14" s="3"/>
      <c r="E14" s="518"/>
      <c r="F14" s="518"/>
      <c r="G14" s="3"/>
      <c r="H14" s="518"/>
      <c r="I14" s="3"/>
      <c r="J14" s="8"/>
      <c r="K14" s="518"/>
      <c r="L14" s="518"/>
      <c r="M14" s="243"/>
      <c r="N14" s="239"/>
      <c r="O14" s="239"/>
      <c r="P14" s="239"/>
      <c r="Q14" s="239"/>
      <c r="R14" s="239"/>
      <c r="S14" s="239"/>
      <c r="T14" s="239"/>
      <c r="U14" s="239"/>
      <c r="V14" s="239"/>
      <c r="W14" s="239"/>
      <c r="X14" s="239"/>
      <c r="Y14" s="239"/>
      <c r="Z14" s="239"/>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row>
    <row r="15" spans="1:51" s="1" customFormat="1">
      <c r="A15" s="7"/>
      <c r="B15" s="518"/>
      <c r="C15" s="518"/>
      <c r="D15" s="3"/>
      <c r="E15" s="518"/>
      <c r="F15" s="518"/>
      <c r="G15" s="3"/>
      <c r="H15" s="518"/>
      <c r="I15" s="3"/>
      <c r="J15" s="8"/>
      <c r="K15" s="518"/>
      <c r="L15" s="518"/>
      <c r="M15" s="243"/>
      <c r="N15" s="239"/>
      <c r="O15" s="239"/>
      <c r="P15" s="239"/>
      <c r="Q15" s="239"/>
      <c r="R15" s="239"/>
      <c r="S15" s="239"/>
      <c r="T15" s="239"/>
      <c r="U15" s="239"/>
      <c r="V15" s="239"/>
      <c r="W15" s="239"/>
      <c r="X15" s="239"/>
      <c r="Y15" s="239"/>
      <c r="Z15" s="239"/>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row>
    <row r="16" spans="1:51" s="1" customFormat="1">
      <c r="A16" s="7"/>
      <c r="B16" s="518"/>
      <c r="C16" s="518"/>
      <c r="D16" s="3"/>
      <c r="E16" s="518"/>
      <c r="F16" s="518"/>
      <c r="G16" s="3"/>
      <c r="H16" s="518"/>
      <c r="I16" s="3"/>
      <c r="J16" s="8"/>
      <c r="K16" s="518"/>
      <c r="L16" s="518"/>
      <c r="M16" s="243"/>
      <c r="N16" s="239"/>
      <c r="O16" s="239"/>
      <c r="P16" s="239"/>
      <c r="Q16" s="239"/>
      <c r="R16" s="239"/>
      <c r="S16" s="239"/>
      <c r="T16" s="239"/>
      <c r="U16" s="239"/>
      <c r="V16" s="239"/>
      <c r="W16" s="239"/>
      <c r="X16" s="239"/>
      <c r="Y16" s="239"/>
      <c r="Z16" s="239"/>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row>
    <row r="17" spans="1:51" s="1" customFormat="1">
      <c r="A17" s="7"/>
      <c r="B17" s="518"/>
      <c r="C17" s="518"/>
      <c r="D17" s="3"/>
      <c r="E17" s="518"/>
      <c r="F17" s="518"/>
      <c r="G17" s="3"/>
      <c r="H17" s="518"/>
      <c r="I17" s="3"/>
      <c r="J17" s="8"/>
      <c r="K17" s="518"/>
      <c r="L17" s="518"/>
      <c r="M17" s="243"/>
      <c r="N17" s="239"/>
      <c r="O17" s="239"/>
      <c r="P17" s="239"/>
      <c r="Q17" s="239"/>
      <c r="R17" s="239"/>
      <c r="S17" s="239"/>
      <c r="T17" s="239"/>
      <c r="U17" s="239"/>
      <c r="V17" s="239"/>
      <c r="W17" s="239"/>
      <c r="X17" s="239"/>
      <c r="Y17" s="239"/>
      <c r="Z17" s="239"/>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row>
    <row r="18" spans="1:51" s="1" customFormat="1">
      <c r="A18" s="7"/>
      <c r="B18" s="518"/>
      <c r="C18" s="518"/>
      <c r="D18" s="3"/>
      <c r="E18" s="518"/>
      <c r="F18" s="518"/>
      <c r="G18" s="3"/>
      <c r="H18" s="518"/>
      <c r="I18" s="3"/>
      <c r="J18" s="8"/>
      <c r="K18" s="518"/>
      <c r="L18" s="518"/>
      <c r="M18" s="243"/>
      <c r="N18" s="239"/>
      <c r="O18" s="239"/>
      <c r="P18" s="239"/>
      <c r="Q18" s="239"/>
      <c r="R18" s="239"/>
      <c r="S18" s="239"/>
      <c r="T18" s="239"/>
      <c r="U18" s="239"/>
      <c r="V18" s="239"/>
      <c r="W18" s="239"/>
      <c r="X18" s="239"/>
      <c r="Y18" s="239"/>
      <c r="Z18" s="239"/>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row>
    <row r="19" spans="1:51" s="1" customFormat="1">
      <c r="A19" s="7"/>
      <c r="B19" s="518"/>
      <c r="C19" s="518"/>
      <c r="D19" s="3"/>
      <c r="E19" s="518"/>
      <c r="F19" s="518"/>
      <c r="G19" s="3"/>
      <c r="H19" s="518"/>
      <c r="I19" s="3"/>
      <c r="J19" s="8"/>
      <c r="K19" s="518"/>
      <c r="L19" s="518"/>
      <c r="M19" s="243"/>
      <c r="N19" s="239"/>
      <c r="O19" s="239"/>
      <c r="P19" s="239"/>
      <c r="Q19" s="239"/>
      <c r="R19" s="239"/>
      <c r="S19" s="239"/>
      <c r="T19" s="239"/>
      <c r="U19" s="239"/>
      <c r="V19" s="239"/>
      <c r="W19" s="239"/>
      <c r="X19" s="239"/>
      <c r="Y19" s="239"/>
      <c r="Z19" s="239"/>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row>
    <row r="20" spans="1:51" s="1" customFormat="1">
      <c r="A20" s="7"/>
      <c r="B20" s="518"/>
      <c r="C20" s="518"/>
      <c r="D20" s="518"/>
      <c r="E20" s="518"/>
      <c r="F20" s="518"/>
      <c r="G20" s="518"/>
      <c r="H20" s="518"/>
      <c r="I20" s="518"/>
      <c r="J20" s="8"/>
      <c r="K20" s="518"/>
      <c r="L20" s="518"/>
      <c r="M20" s="243"/>
      <c r="N20" s="239"/>
      <c r="O20" s="239"/>
      <c r="P20" s="239"/>
      <c r="Q20" s="239"/>
      <c r="R20" s="239"/>
      <c r="S20" s="239"/>
      <c r="T20" s="239"/>
      <c r="U20" s="239"/>
      <c r="V20" s="239"/>
      <c r="W20" s="239"/>
      <c r="X20" s="239"/>
      <c r="Y20" s="239"/>
      <c r="Z20" s="239"/>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row>
    <row r="21" spans="1:51" s="1" customFormat="1">
      <c r="A21" s="7"/>
      <c r="B21" s="518"/>
      <c r="C21" s="518"/>
      <c r="D21" s="518"/>
      <c r="E21" s="518"/>
      <c r="F21" s="518"/>
      <c r="G21" s="518"/>
      <c r="H21" s="518"/>
      <c r="I21" s="518"/>
      <c r="J21" s="8"/>
      <c r="K21" s="518"/>
      <c r="L21" s="518"/>
      <c r="M21" s="243"/>
      <c r="N21" s="239"/>
      <c r="O21" s="239"/>
      <c r="P21" s="239"/>
      <c r="Q21" s="239"/>
      <c r="R21" s="239"/>
      <c r="S21" s="239"/>
      <c r="T21" s="239"/>
      <c r="U21" s="239"/>
      <c r="V21" s="239"/>
      <c r="W21" s="239"/>
      <c r="X21" s="239"/>
      <c r="Y21" s="239"/>
      <c r="Z21" s="239"/>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row>
    <row r="22" spans="1:51" s="1" customFormat="1">
      <c r="A22" s="7"/>
      <c r="B22" s="518"/>
      <c r="C22" s="518"/>
      <c r="D22" s="518"/>
      <c r="E22" s="518"/>
      <c r="F22" s="518"/>
      <c r="G22" s="518"/>
      <c r="H22" s="518"/>
      <c r="I22" s="518"/>
      <c r="J22" s="8"/>
      <c r="K22" s="518"/>
      <c r="L22" s="518"/>
      <c r="M22" s="243"/>
      <c r="N22" s="239"/>
      <c r="O22" s="239"/>
      <c r="P22" s="239"/>
      <c r="Q22" s="239"/>
      <c r="R22" s="239"/>
      <c r="S22" s="239"/>
      <c r="T22" s="239"/>
      <c r="U22" s="239"/>
      <c r="V22" s="239"/>
      <c r="W22" s="239"/>
      <c r="X22" s="239"/>
      <c r="Y22" s="239"/>
      <c r="Z22" s="239"/>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row>
    <row r="23" spans="1:51" s="1" customFormat="1">
      <c r="A23" s="7"/>
      <c r="B23" s="518"/>
      <c r="C23" s="518"/>
      <c r="D23" s="518"/>
      <c r="E23" s="518"/>
      <c r="F23" s="518"/>
      <c r="G23" s="518"/>
      <c r="H23" s="518"/>
      <c r="I23" s="518"/>
      <c r="J23" s="8"/>
      <c r="K23" s="518"/>
      <c r="L23" s="518"/>
      <c r="M23" s="243"/>
      <c r="N23" s="239"/>
      <c r="O23" s="239"/>
      <c r="P23" s="239"/>
      <c r="Q23" s="239"/>
      <c r="R23" s="239"/>
      <c r="S23" s="239"/>
      <c r="T23" s="239"/>
      <c r="U23" s="239"/>
      <c r="V23" s="239"/>
      <c r="W23" s="239"/>
      <c r="X23" s="239"/>
      <c r="Y23" s="239"/>
      <c r="Z23" s="239"/>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row>
    <row r="24" spans="1:51" s="1" customFormat="1">
      <c r="A24" s="7"/>
      <c r="B24" s="518"/>
      <c r="C24" s="518"/>
      <c r="D24" s="3"/>
      <c r="E24" s="518"/>
      <c r="F24" s="518"/>
      <c r="G24" s="3"/>
      <c r="H24" s="518"/>
      <c r="I24" s="3"/>
      <c r="J24" s="8"/>
      <c r="K24" s="518"/>
      <c r="L24" s="518"/>
      <c r="M24" s="243"/>
      <c r="N24" s="239"/>
      <c r="O24" s="239"/>
      <c r="P24" s="239"/>
      <c r="Q24" s="239"/>
      <c r="R24" s="239"/>
      <c r="S24" s="239"/>
      <c r="T24" s="239"/>
      <c r="U24" s="239"/>
      <c r="V24" s="239"/>
      <c r="W24" s="239"/>
      <c r="X24" s="239"/>
      <c r="Y24" s="239"/>
      <c r="Z24" s="239"/>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row>
    <row r="25" spans="1:51" s="1" customFormat="1" ht="14.15" customHeight="1">
      <c r="A25" s="7"/>
      <c r="B25" s="518"/>
      <c r="C25" s="518"/>
      <c r="D25" s="3"/>
      <c r="E25" s="518"/>
      <c r="F25" s="518"/>
      <c r="G25" s="3"/>
      <c r="H25" s="518"/>
      <c r="I25" s="3"/>
      <c r="J25" s="8"/>
      <c r="K25" s="518"/>
      <c r="L25" s="518"/>
      <c r="M25" s="243"/>
      <c r="N25" s="239"/>
      <c r="O25" s="239"/>
      <c r="P25" s="239"/>
      <c r="Q25" s="239"/>
      <c r="R25" s="239"/>
      <c r="S25" s="239"/>
      <c r="T25" s="239"/>
      <c r="U25" s="239"/>
      <c r="V25" s="239"/>
      <c r="W25" s="239"/>
      <c r="X25" s="239"/>
      <c r="Y25" s="239"/>
      <c r="Z25" s="239"/>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row>
    <row r="26" spans="1:51" s="1" customFormat="1" ht="13" customHeight="1">
      <c r="A26" s="7"/>
      <c r="B26" s="518"/>
      <c r="C26" s="518"/>
      <c r="D26" s="3"/>
      <c r="E26" s="518"/>
      <c r="F26" s="518"/>
      <c r="G26" s="3"/>
      <c r="H26" s="518"/>
      <c r="I26" s="3"/>
      <c r="J26" s="8"/>
      <c r="K26" s="518"/>
      <c r="L26" s="518"/>
      <c r="M26" s="243"/>
      <c r="N26" s="239"/>
      <c r="O26" s="239"/>
      <c r="P26" s="239"/>
      <c r="Q26" s="239"/>
      <c r="R26" s="239"/>
      <c r="S26" s="239"/>
      <c r="T26" s="239"/>
      <c r="U26" s="239"/>
      <c r="V26" s="239"/>
      <c r="W26" s="239"/>
      <c r="X26" s="239"/>
      <c r="Y26" s="239"/>
      <c r="Z26" s="239"/>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row>
    <row r="27" spans="1:51" s="1" customFormat="1" ht="5.5" customHeight="1">
      <c r="A27" s="7"/>
      <c r="B27" s="518"/>
      <c r="C27" s="518"/>
      <c r="D27" s="3"/>
      <c r="E27" s="518"/>
      <c r="F27" s="518"/>
      <c r="G27" s="3"/>
      <c r="H27" s="518"/>
      <c r="I27" s="3"/>
      <c r="J27" s="8"/>
      <c r="K27" s="518"/>
      <c r="L27" s="518"/>
      <c r="M27" s="243"/>
      <c r="N27" s="239"/>
      <c r="O27" s="239"/>
      <c r="P27" s="239"/>
      <c r="Q27" s="239"/>
      <c r="R27" s="239"/>
      <c r="S27" s="239"/>
      <c r="T27" s="239"/>
      <c r="U27" s="239"/>
      <c r="V27" s="239"/>
      <c r="W27" s="239"/>
      <c r="X27" s="239"/>
      <c r="Y27" s="239"/>
      <c r="Z27" s="239"/>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row>
    <row r="28" spans="1:51" s="1" customFormat="1" hidden="1">
      <c r="A28" s="7"/>
      <c r="B28" s="518"/>
      <c r="C28" s="518"/>
      <c r="D28" s="3"/>
      <c r="E28" s="518"/>
      <c r="F28" s="518"/>
      <c r="G28" s="3"/>
      <c r="H28" s="518"/>
      <c r="I28" s="3"/>
      <c r="J28" s="8"/>
      <c r="K28" s="518"/>
      <c r="L28" s="518"/>
      <c r="M28" s="243"/>
      <c r="N28" s="239"/>
      <c r="O28" s="239"/>
      <c r="P28" s="239"/>
      <c r="Q28" s="239"/>
      <c r="R28" s="239"/>
      <c r="S28" s="239"/>
      <c r="T28" s="239"/>
      <c r="U28" s="239"/>
      <c r="V28" s="239"/>
      <c r="W28" s="239"/>
      <c r="X28" s="239"/>
      <c r="Y28" s="239"/>
      <c r="Z28" s="239"/>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row>
    <row r="29" spans="1:51" s="1" customFormat="1">
      <c r="A29" s="7"/>
      <c r="B29" s="4" t="s">
        <v>608</v>
      </c>
      <c r="C29" s="518"/>
      <c r="D29" s="3"/>
      <c r="E29" s="518"/>
      <c r="F29" s="518"/>
      <c r="G29" s="3"/>
      <c r="H29" s="518"/>
      <c r="I29" s="3"/>
      <c r="J29" s="8"/>
      <c r="K29" s="518"/>
      <c r="L29" s="518"/>
      <c r="M29" s="243"/>
      <c r="N29" s="239"/>
      <c r="O29" s="239"/>
      <c r="P29" s="239"/>
      <c r="Q29" s="239"/>
      <c r="R29" s="239"/>
      <c r="S29" s="239"/>
      <c r="T29" s="239"/>
      <c r="U29" s="239"/>
      <c r="V29" s="239"/>
      <c r="W29" s="239"/>
      <c r="X29" s="239"/>
      <c r="Y29" s="239"/>
      <c r="Z29" s="239"/>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row>
    <row r="30" spans="1:51" s="1" customFormat="1" ht="3.75" customHeight="1">
      <c r="A30" s="7"/>
      <c r="B30" s="518"/>
      <c r="C30" s="518"/>
      <c r="D30" s="3"/>
      <c r="E30" s="518"/>
      <c r="F30" s="518"/>
      <c r="G30" s="3"/>
      <c r="H30" s="518"/>
      <c r="I30" s="3"/>
      <c r="J30" s="8"/>
      <c r="K30" s="518"/>
      <c r="L30" s="518"/>
      <c r="M30" s="243"/>
      <c r="N30" s="239"/>
      <c r="O30" s="239"/>
      <c r="P30" s="239"/>
      <c r="Q30" s="239"/>
      <c r="R30" s="239"/>
      <c r="S30" s="239"/>
      <c r="T30" s="239"/>
      <c r="U30" s="239"/>
      <c r="V30" s="239"/>
      <c r="W30" s="239"/>
      <c r="X30" s="239"/>
      <c r="Y30" s="239"/>
      <c r="Z30" s="239"/>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row>
    <row r="31" spans="1:51" s="1" customFormat="1" ht="3.45" customHeight="1">
      <c r="A31" s="35"/>
      <c r="B31" s="28"/>
      <c r="C31" s="28"/>
      <c r="D31" s="28"/>
      <c r="E31" s="28"/>
      <c r="F31" s="28"/>
      <c r="G31" s="28"/>
      <c r="H31" s="28"/>
      <c r="I31" s="28"/>
      <c r="J31" s="22"/>
      <c r="K31" s="518"/>
      <c r="L31" s="2"/>
      <c r="M31" s="243"/>
      <c r="N31" s="239"/>
      <c r="O31" s="239"/>
      <c r="P31" s="239"/>
      <c r="Q31" s="239"/>
      <c r="R31" s="239"/>
      <c r="S31" s="239"/>
      <c r="T31" s="239"/>
      <c r="U31" s="239"/>
      <c r="V31" s="239"/>
      <c r="W31" s="239"/>
      <c r="X31" s="239"/>
      <c r="Y31" s="239"/>
      <c r="Z31" s="239"/>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row>
    <row r="32" spans="1:51" s="1" customFormat="1" ht="15.55">
      <c r="A32" s="1052" t="s">
        <v>203</v>
      </c>
      <c r="B32" s="1053"/>
      <c r="C32" s="1053"/>
      <c r="D32" s="1053"/>
      <c r="E32" s="1054"/>
      <c r="F32" s="419"/>
      <c r="G32" s="1052" t="s">
        <v>474</v>
      </c>
      <c r="H32" s="1053"/>
      <c r="I32" s="1053"/>
      <c r="J32" s="1054"/>
      <c r="K32" s="499"/>
      <c r="L32" s="402"/>
      <c r="M32" s="239"/>
      <c r="N32" s="239"/>
      <c r="O32" s="239"/>
      <c r="P32" s="239"/>
      <c r="Q32" s="239"/>
      <c r="R32" s="239"/>
      <c r="S32" s="239"/>
      <c r="T32" s="239"/>
      <c r="U32" s="239"/>
      <c r="V32" s="239"/>
      <c r="W32" s="239"/>
      <c r="X32" s="239"/>
      <c r="Y32" s="239"/>
      <c r="Z32" s="239"/>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row>
    <row r="33" spans="1:51" s="1" customFormat="1" ht="3.75" customHeight="1">
      <c r="A33" s="30"/>
      <c r="B33" s="402"/>
      <c r="C33" s="402"/>
      <c r="D33" s="402"/>
      <c r="E33" s="31"/>
      <c r="F33" s="402"/>
      <c r="G33" s="403"/>
      <c r="H33" s="416"/>
      <c r="I33" s="416"/>
      <c r="J33" s="417"/>
      <c r="K33" s="402"/>
      <c r="L33" s="402"/>
      <c r="M33" s="239"/>
      <c r="N33" s="239"/>
      <c r="O33" s="239"/>
      <c r="P33" s="239"/>
      <c r="Q33" s="239"/>
      <c r="R33" s="239"/>
      <c r="S33" s="239"/>
      <c r="T33" s="239"/>
      <c r="U33" s="239"/>
      <c r="V33" s="239"/>
      <c r="W33" s="239"/>
      <c r="X33" s="239"/>
      <c r="Y33" s="239"/>
      <c r="Z33" s="239"/>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row>
    <row r="34" spans="1:51" s="1" customFormat="1" ht="16" customHeight="1">
      <c r="A34" s="30"/>
      <c r="B34" s="1055" t="str">
        <f>Eingabe!C3</f>
        <v>Instandsetzung Kappe</v>
      </c>
      <c r="C34" s="1055"/>
      <c r="D34" s="1055"/>
      <c r="E34" s="31"/>
      <c r="F34" s="402"/>
      <c r="G34" s="30"/>
      <c r="H34" s="402"/>
      <c r="I34" s="402"/>
      <c r="J34" s="31"/>
      <c r="K34" s="402"/>
      <c r="L34" s="402"/>
      <c r="M34" s="239"/>
      <c r="N34" s="239"/>
      <c r="O34" s="239"/>
      <c r="P34" s="239"/>
      <c r="Q34" s="239"/>
      <c r="R34" s="239"/>
      <c r="S34" s="239"/>
      <c r="T34" s="239"/>
      <c r="U34" s="239"/>
      <c r="V34" s="239"/>
      <c r="W34" s="239"/>
      <c r="X34" s="239"/>
      <c r="Y34" s="239"/>
      <c r="Z34" s="239"/>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row>
    <row r="35" spans="1:51" s="1" customFormat="1" ht="15.45" customHeight="1">
      <c r="A35" s="1052" t="s">
        <v>578</v>
      </c>
      <c r="B35" s="1053"/>
      <c r="C35" s="1053"/>
      <c r="D35" s="1053"/>
      <c r="E35" s="1054"/>
      <c r="F35" s="402"/>
      <c r="G35" s="30"/>
      <c r="H35" s="402"/>
      <c r="I35" s="402"/>
      <c r="J35" s="31"/>
      <c r="K35" s="402"/>
      <c r="L35" s="402"/>
      <c r="M35" s="239"/>
      <c r="N35" s="239"/>
      <c r="O35" s="239"/>
      <c r="P35" s="239"/>
      <c r="Q35" s="239"/>
      <c r="R35" s="239"/>
      <c r="S35" s="239"/>
      <c r="T35" s="239"/>
      <c r="U35" s="239"/>
      <c r="V35" s="239"/>
      <c r="W35" s="239"/>
      <c r="X35" s="239"/>
      <c r="Y35" s="239"/>
      <c r="Z35" s="239"/>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row>
    <row r="36" spans="1:51" s="1" customFormat="1" ht="16" customHeight="1">
      <c r="A36" s="403"/>
      <c r="B36" s="416"/>
      <c r="C36" s="416"/>
      <c r="D36" s="416"/>
      <c r="E36" s="417"/>
      <c r="F36" s="402"/>
      <c r="G36" s="30"/>
      <c r="H36" s="402"/>
      <c r="I36" s="402"/>
      <c r="J36" s="31"/>
      <c r="K36" s="402"/>
      <c r="L36" s="402"/>
      <c r="M36" s="239"/>
      <c r="N36" s="239"/>
      <c r="O36" s="239"/>
      <c r="P36" s="239"/>
      <c r="Q36" s="239"/>
      <c r="R36" s="239"/>
      <c r="S36" s="239"/>
      <c r="T36" s="239"/>
      <c r="U36" s="239"/>
      <c r="V36" s="239"/>
      <c r="W36" s="239"/>
      <c r="X36" s="239"/>
      <c r="Y36" s="239"/>
      <c r="Z36" s="239"/>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row>
    <row r="37" spans="1:51" s="1" customFormat="1" ht="13" customHeight="1">
      <c r="A37" s="30"/>
      <c r="B37" s="599" t="s">
        <v>25</v>
      </c>
      <c r="C37" s="597"/>
      <c r="D37" s="494" t="str">
        <f>Eingabe!C6</f>
        <v>C 35/45; gerissen</v>
      </c>
      <c r="E37" s="598"/>
      <c r="F37" s="402"/>
      <c r="G37" s="30"/>
      <c r="H37" s="402"/>
      <c r="I37" s="402"/>
      <c r="J37" s="31"/>
      <c r="K37" s="402"/>
      <c r="L37" s="402"/>
      <c r="M37" s="239"/>
      <c r="N37" s="239"/>
      <c r="O37" s="239"/>
      <c r="P37" s="239"/>
      <c r="Q37" s="239"/>
      <c r="R37" s="239"/>
      <c r="S37" s="239"/>
      <c r="T37" s="239"/>
      <c r="U37" s="239"/>
      <c r="V37" s="239"/>
      <c r="W37" s="239"/>
      <c r="X37" s="239"/>
      <c r="Y37" s="239"/>
      <c r="Z37" s="239"/>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row>
    <row r="38" spans="1:51" s="1" customFormat="1" ht="13" customHeight="1">
      <c r="A38" s="30"/>
      <c r="B38" s="599" t="s">
        <v>31</v>
      </c>
      <c r="C38" s="600"/>
      <c r="D38" s="587">
        <f>Eingabe!C7</f>
        <v>1200</v>
      </c>
      <c r="E38" s="588" t="s">
        <v>0</v>
      </c>
      <c r="F38" s="402"/>
      <c r="G38" s="30"/>
      <c r="H38" s="402"/>
      <c r="I38" s="402"/>
      <c r="J38" s="31"/>
      <c r="K38" s="402"/>
      <c r="L38" s="402"/>
      <c r="M38" s="239"/>
      <c r="N38" s="239"/>
      <c r="O38" s="239"/>
      <c r="P38" s="239"/>
      <c r="Q38" s="239"/>
      <c r="R38" s="239"/>
      <c r="S38" s="239"/>
      <c r="T38" s="239"/>
      <c r="U38" s="239"/>
      <c r="V38" s="239"/>
      <c r="W38" s="239"/>
      <c r="X38" s="239"/>
      <c r="Y38" s="239"/>
      <c r="Z38" s="239"/>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row>
    <row r="39" spans="1:51" s="1" customFormat="1" ht="13" customHeight="1">
      <c r="A39" s="30"/>
      <c r="B39" s="217" t="s">
        <v>33</v>
      </c>
      <c r="C39" s="600"/>
      <c r="D39" s="587">
        <f>Eingabe!C9</f>
        <v>10</v>
      </c>
      <c r="E39" s="588" t="str">
        <f>Eingabe!D17</f>
        <v>[mm]</v>
      </c>
      <c r="F39" s="402"/>
      <c r="G39" s="30"/>
      <c r="H39" s="402"/>
      <c r="I39" s="402"/>
      <c r="J39" s="31"/>
      <c r="K39" s="402"/>
      <c r="L39" s="402"/>
      <c r="M39" s="239"/>
      <c r="N39" s="239"/>
      <c r="O39" s="239"/>
      <c r="P39" s="239"/>
      <c r="Q39" s="239"/>
      <c r="R39" s="239"/>
      <c r="S39" s="239"/>
      <c r="T39" s="239"/>
      <c r="U39" s="239"/>
      <c r="V39" s="239"/>
      <c r="W39" s="239"/>
      <c r="X39" s="239"/>
      <c r="Y39" s="239"/>
      <c r="Z39" s="239"/>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row>
    <row r="40" spans="1:51" s="1" customFormat="1" ht="13" customHeight="1">
      <c r="A40" s="30"/>
      <c r="B40" s="1070" t="s">
        <v>613</v>
      </c>
      <c r="C40" s="1071"/>
      <c r="D40" s="631">
        <f>Eingabe!J28</f>
        <v>500</v>
      </c>
      <c r="E40" s="588" t="str">
        <f>Eingabe!D10</f>
        <v>[mm]</v>
      </c>
      <c r="F40" s="402"/>
      <c r="G40" s="30"/>
      <c r="H40" s="402"/>
      <c r="I40" s="402"/>
      <c r="J40" s="31"/>
      <c r="K40" s="402"/>
      <c r="L40" s="402"/>
      <c r="M40" s="239"/>
      <c r="N40" s="239"/>
      <c r="O40" s="239"/>
      <c r="P40" s="239"/>
      <c r="Q40" s="239"/>
      <c r="R40" s="239"/>
      <c r="S40" s="239"/>
      <c r="T40" s="239"/>
      <c r="U40" s="239"/>
      <c r="V40" s="239"/>
      <c r="W40" s="239"/>
      <c r="X40" s="239"/>
      <c r="Y40" s="239"/>
      <c r="Z40" s="239"/>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row>
    <row r="41" spans="1:51" s="1" customFormat="1" ht="13" customHeight="1">
      <c r="A41" s="30"/>
      <c r="B41" s="1070" t="s">
        <v>604</v>
      </c>
      <c r="C41" s="1071"/>
      <c r="D41" s="631">
        <f>Eingabe!J32</f>
        <v>550</v>
      </c>
      <c r="E41" s="632" t="s">
        <v>0</v>
      </c>
      <c r="F41" s="402"/>
      <c r="G41" s="30"/>
      <c r="H41" s="402"/>
      <c r="I41" s="402"/>
      <c r="J41" s="31"/>
      <c r="K41" s="402"/>
      <c r="L41" s="402"/>
      <c r="M41" s="239"/>
      <c r="N41" s="239"/>
      <c r="O41" s="239"/>
      <c r="P41" s="239"/>
      <c r="Q41" s="239"/>
      <c r="R41" s="239"/>
      <c r="S41" s="239"/>
      <c r="T41" s="239"/>
      <c r="U41" s="239"/>
      <c r="V41" s="239"/>
      <c r="W41" s="239"/>
      <c r="X41" s="239"/>
      <c r="Y41" s="239"/>
      <c r="Z41" s="239"/>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row>
    <row r="42" spans="1:51" s="1" customFormat="1" ht="13" customHeight="1">
      <c r="A42" s="30"/>
      <c r="B42" s="274" t="s">
        <v>561</v>
      </c>
      <c r="C42" s="60"/>
      <c r="D42" s="587">
        <f>Eingabe!C17</f>
        <v>260</v>
      </c>
      <c r="E42" s="632" t="s">
        <v>0</v>
      </c>
      <c r="F42" s="402"/>
      <c r="G42" s="30"/>
      <c r="H42" s="402"/>
      <c r="I42" s="402"/>
      <c r="J42" s="31"/>
      <c r="K42" s="402"/>
      <c r="L42" s="402"/>
      <c r="M42" s="239"/>
      <c r="N42" s="239"/>
      <c r="O42" s="239"/>
      <c r="P42" s="239"/>
      <c r="Q42" s="239"/>
      <c r="R42" s="239"/>
      <c r="S42" s="239"/>
      <c r="T42" s="239"/>
      <c r="U42" s="239"/>
      <c r="V42" s="239"/>
      <c r="W42" s="239"/>
      <c r="X42" s="239"/>
      <c r="Y42" s="239"/>
      <c r="Z42" s="239"/>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row>
    <row r="43" spans="1:51" s="1" customFormat="1" ht="13" customHeight="1">
      <c r="A43" s="30"/>
      <c r="B43" s="599" t="s">
        <v>564</v>
      </c>
      <c r="C43" s="597"/>
      <c r="D43" s="587">
        <f>Eingabe!C8</f>
        <v>200</v>
      </c>
      <c r="E43" s="588" t="s">
        <v>0</v>
      </c>
      <c r="F43" s="402"/>
      <c r="G43" s="30"/>
      <c r="H43" s="402"/>
      <c r="I43" s="402"/>
      <c r="J43" s="31"/>
      <c r="K43" s="402"/>
      <c r="L43" s="402"/>
      <c r="M43" s="239"/>
      <c r="N43" s="239"/>
      <c r="O43" s="239"/>
      <c r="P43" s="239"/>
      <c r="Q43" s="239"/>
      <c r="R43" s="239"/>
      <c r="S43" s="239"/>
      <c r="T43" s="239"/>
      <c r="U43" s="239"/>
      <c r="V43" s="239"/>
      <c r="W43" s="239"/>
      <c r="X43" s="239"/>
      <c r="Y43" s="239"/>
      <c r="Z43" s="239"/>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row>
    <row r="44" spans="1:51" s="421" customFormat="1" ht="13" customHeight="1">
      <c r="A44" s="30"/>
      <c r="B44" s="217" t="s">
        <v>614</v>
      </c>
      <c r="C44" s="60"/>
      <c r="D44" s="587">
        <f>IF(Eingabe!AD32=1,Eingabe!C10,Eingabe!V79)</f>
        <v>140</v>
      </c>
      <c r="E44" s="632" t="s">
        <v>0</v>
      </c>
      <c r="F44" s="402"/>
      <c r="G44" s="30"/>
      <c r="H44" s="402"/>
      <c r="I44" s="402"/>
      <c r="J44" s="31"/>
      <c r="K44" s="402"/>
      <c r="L44" s="402"/>
      <c r="M44" s="239"/>
      <c r="N44" s="239"/>
      <c r="O44" s="239"/>
      <c r="P44" s="239"/>
      <c r="Q44" s="239"/>
      <c r="R44" s="239"/>
      <c r="S44" s="239"/>
      <c r="T44" s="239"/>
      <c r="U44" s="239"/>
      <c r="V44" s="239"/>
      <c r="W44" s="239"/>
      <c r="X44" s="239"/>
      <c r="Y44" s="239"/>
      <c r="Z44" s="239"/>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row>
    <row r="45" spans="1:51" s="604" customFormat="1" ht="13" customHeight="1">
      <c r="A45" s="30"/>
      <c r="B45" s="217" t="s">
        <v>611</v>
      </c>
      <c r="C45" s="60"/>
      <c r="D45" s="587">
        <f>Eingabe!W37</f>
        <v>28</v>
      </c>
      <c r="E45" s="632" t="s">
        <v>0</v>
      </c>
      <c r="F45" s="402"/>
      <c r="G45" s="30"/>
      <c r="H45" s="402"/>
      <c r="I45" s="402"/>
      <c r="J45" s="31"/>
      <c r="K45" s="402"/>
      <c r="L45" s="402"/>
      <c r="M45" s="239"/>
      <c r="N45" s="239"/>
      <c r="O45" s="239"/>
      <c r="P45" s="239"/>
      <c r="Q45" s="239"/>
      <c r="R45" s="239"/>
      <c r="S45" s="239"/>
      <c r="T45" s="239"/>
      <c r="U45" s="239"/>
      <c r="V45" s="239"/>
      <c r="W45" s="239"/>
      <c r="X45" s="239"/>
      <c r="Y45" s="239"/>
      <c r="Z45" s="239"/>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row>
    <row r="46" spans="1:51" s="1" customFormat="1" ht="23.9" customHeight="1">
      <c r="A46" s="1046" t="s">
        <v>612</v>
      </c>
      <c r="B46" s="1047"/>
      <c r="C46" s="1047"/>
      <c r="D46" s="1047"/>
      <c r="E46" s="1048"/>
      <c r="F46" s="402"/>
      <c r="G46" s="30"/>
      <c r="H46" s="402"/>
      <c r="I46" s="402"/>
      <c r="J46" s="31"/>
      <c r="K46" s="402"/>
      <c r="L46" s="402"/>
      <c r="M46" s="239"/>
      <c r="N46" s="239"/>
      <c r="O46" s="239"/>
      <c r="P46" s="239"/>
      <c r="Q46" s="239"/>
      <c r="R46" s="239"/>
      <c r="S46" s="239"/>
      <c r="T46" s="239"/>
      <c r="U46" s="239"/>
      <c r="V46" s="239"/>
      <c r="W46" s="239"/>
      <c r="X46" s="239"/>
      <c r="Y46" s="239"/>
      <c r="Z46" s="239"/>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row>
    <row r="47" spans="1:51" s="1" customFormat="1" ht="15.45" customHeight="1">
      <c r="A47" s="1052" t="s">
        <v>117</v>
      </c>
      <c r="B47" s="1053"/>
      <c r="C47" s="1053"/>
      <c r="D47" s="1053"/>
      <c r="E47" s="1054"/>
      <c r="F47" s="29"/>
      <c r="G47" s="30"/>
      <c r="H47" s="402"/>
      <c r="I47" s="402"/>
      <c r="J47" s="31"/>
      <c r="K47" s="402"/>
      <c r="L47" s="402"/>
      <c r="M47" s="531"/>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row>
    <row r="48" spans="1:51" s="1" customFormat="1" ht="13" customHeight="1">
      <c r="A48" s="403"/>
      <c r="B48" s="416"/>
      <c r="C48" s="416"/>
      <c r="D48" s="416"/>
      <c r="E48" s="417"/>
      <c r="F48" s="402"/>
      <c r="G48" s="30"/>
      <c r="H48" s="402"/>
      <c r="I48" s="402"/>
      <c r="J48" s="31"/>
      <c r="K48" s="402"/>
      <c r="L48" s="402"/>
      <c r="M48" s="531"/>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row>
    <row r="49" spans="1:51" s="1" customFormat="1" ht="13" customHeight="1">
      <c r="A49" s="33"/>
      <c r="B49" s="652" t="s">
        <v>25</v>
      </c>
      <c r="C49" s="653"/>
      <c r="D49" s="663" t="str">
        <f>Eingabe!C13</f>
        <v>C 25/30 (LP); gerissen</v>
      </c>
      <c r="E49" s="588"/>
      <c r="F49" s="402"/>
      <c r="G49" s="33"/>
      <c r="H49" s="29"/>
      <c r="I49" s="29"/>
      <c r="J49" s="34"/>
      <c r="K49" s="29"/>
      <c r="L49" s="402"/>
      <c r="M49" s="531"/>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row>
    <row r="50" spans="1:51" s="1" customFormat="1" ht="13" customHeight="1">
      <c r="A50" s="30"/>
      <c r="B50" s="17" t="s">
        <v>1145</v>
      </c>
      <c r="C50" s="597"/>
      <c r="D50" s="1049" t="str">
        <f>Eingabe!C14&amp;"      [kg/m3]"</f>
        <v>1600      [kg/m3]</v>
      </c>
      <c r="E50" s="1050"/>
      <c r="F50" s="402"/>
      <c r="G50" s="30"/>
      <c r="H50" s="402"/>
      <c r="I50" s="402"/>
      <c r="J50" s="31"/>
      <c r="K50" s="402"/>
      <c r="L50" s="402"/>
      <c r="M50" s="531"/>
      <c r="N50" s="276"/>
      <c r="O50" s="277"/>
      <c r="P50" s="277"/>
      <c r="Q50" s="277"/>
      <c r="R50" s="277"/>
      <c r="S50" s="277"/>
      <c r="T50" s="277"/>
      <c r="U50" s="277"/>
      <c r="V50" s="277"/>
      <c r="W50" s="277"/>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row>
    <row r="51" spans="1:51" s="1" customFormat="1" ht="13" customHeight="1">
      <c r="A51" s="30"/>
      <c r="B51" s="269" t="s">
        <v>206</v>
      </c>
      <c r="C51" s="402"/>
      <c r="D51" s="665" t="str">
        <f>LEFT(Eingabe!C12,FIND("m",Eingabe!C12)-1)</f>
        <v xml:space="preserve">≤ 1,70 </v>
      </c>
      <c r="E51" s="654" t="s">
        <v>551</v>
      </c>
      <c r="F51" s="402"/>
      <c r="G51" s="30"/>
      <c r="H51" s="402"/>
      <c r="I51" s="402"/>
      <c r="J51" s="31"/>
      <c r="K51" s="402"/>
      <c r="L51" s="402"/>
      <c r="M51" s="531"/>
      <c r="N51" s="276"/>
      <c r="O51" s="277"/>
      <c r="P51" s="277"/>
      <c r="Q51" s="277"/>
      <c r="R51" s="277"/>
      <c r="S51" s="277"/>
      <c r="T51" s="277"/>
      <c r="U51" s="277"/>
      <c r="V51" s="277"/>
      <c r="W51" s="277"/>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row>
    <row r="52" spans="1:51" s="1" customFormat="1" ht="13" customHeight="1">
      <c r="A52" s="30"/>
      <c r="B52" s="1072" t="s">
        <v>126</v>
      </c>
      <c r="C52" s="1073"/>
      <c r="D52" s="587">
        <f>Eingabe!C16</f>
        <v>300</v>
      </c>
      <c r="E52" s="588" t="s">
        <v>0</v>
      </c>
      <c r="F52" s="402"/>
      <c r="G52" s="30"/>
      <c r="H52" s="402"/>
      <c r="I52" s="402"/>
      <c r="J52" s="31"/>
      <c r="K52" s="402"/>
      <c r="L52" s="402"/>
      <c r="M52" s="531"/>
      <c r="N52" s="276"/>
      <c r="O52" s="277"/>
      <c r="P52" s="277"/>
      <c r="Q52" s="277"/>
      <c r="R52" s="277"/>
      <c r="S52" s="277"/>
      <c r="T52" s="277"/>
      <c r="U52" s="277"/>
      <c r="V52" s="277"/>
      <c r="W52" s="277"/>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row>
    <row r="53" spans="1:51" s="1" customFormat="1" ht="13" customHeight="1">
      <c r="A53" s="30"/>
      <c r="B53" s="652" t="s">
        <v>408</v>
      </c>
      <c r="C53" s="597"/>
      <c r="D53" s="663" t="str">
        <f>Eingabe!C15</f>
        <v>Sechskantmutter M24</v>
      </c>
      <c r="E53" s="31"/>
      <c r="F53" s="402"/>
      <c r="G53" s="30"/>
      <c r="H53" s="402"/>
      <c r="I53" s="402"/>
      <c r="J53" s="31"/>
      <c r="K53" s="402"/>
      <c r="L53" s="402"/>
      <c r="M53" s="531"/>
      <c r="N53" s="276"/>
      <c r="O53" s="277"/>
      <c r="P53" s="277"/>
      <c r="Q53" s="277"/>
      <c r="R53" s="277"/>
      <c r="S53" s="277"/>
      <c r="T53" s="277"/>
      <c r="U53" s="277"/>
      <c r="V53" s="277"/>
      <c r="W53" s="277"/>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row>
    <row r="54" spans="1:51" s="1" customFormat="1" ht="13" customHeight="1">
      <c r="A54" s="30"/>
      <c r="B54" s="652" t="s">
        <v>607</v>
      </c>
      <c r="C54" s="402"/>
      <c r="D54" s="489">
        <f>IF(Eingabe!C19=0,"0",Eingabe!C19)</f>
        <v>50</v>
      </c>
      <c r="E54" s="588" t="s">
        <v>0</v>
      </c>
      <c r="F54" s="402"/>
      <c r="G54" s="30"/>
      <c r="H54" s="402"/>
      <c r="I54" s="402"/>
      <c r="J54" s="31"/>
      <c r="K54" s="402"/>
      <c r="L54" s="402"/>
      <c r="M54" s="531"/>
      <c r="N54" s="276"/>
      <c r="O54" s="277"/>
      <c r="P54" s="277"/>
      <c r="Q54" s="277"/>
      <c r="R54" s="277"/>
      <c r="S54" s="277"/>
      <c r="T54" s="277"/>
      <c r="U54" s="277"/>
      <c r="V54" s="277"/>
      <c r="W54" s="277"/>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row>
    <row r="55" spans="1:51" s="1" customFormat="1" ht="13" customHeight="1">
      <c r="A55" s="30"/>
      <c r="B55" s="1072" t="s">
        <v>139</v>
      </c>
      <c r="C55" s="1073"/>
      <c r="D55" s="587">
        <f>Eingabe!C18</f>
        <v>145</v>
      </c>
      <c r="E55" s="588" t="s">
        <v>0</v>
      </c>
      <c r="F55" s="402"/>
      <c r="G55" s="1074"/>
      <c r="H55" s="1075"/>
      <c r="I55" s="1075"/>
      <c r="J55" s="1076"/>
      <c r="K55" s="490"/>
      <c r="L55" s="402"/>
      <c r="M55" s="531"/>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row>
    <row r="56" spans="1:51" s="604" customFormat="1" ht="13" customHeight="1">
      <c r="A56" s="30"/>
      <c r="B56" s="217" t="s">
        <v>411</v>
      </c>
      <c r="C56" s="651"/>
      <c r="D56" s="587">
        <f>Eingabe!C21</f>
        <v>76</v>
      </c>
      <c r="E56" s="588" t="s">
        <v>0</v>
      </c>
      <c r="F56" s="402"/>
      <c r="G56" s="601"/>
      <c r="H56" s="602"/>
      <c r="I56" s="602"/>
      <c r="J56" s="603"/>
      <c r="K56" s="490"/>
      <c r="L56" s="402"/>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row>
    <row r="57" spans="1:51" s="1" customFormat="1" ht="17.850000000000001" customHeight="1">
      <c r="A57" s="5"/>
      <c r="B57" s="661" t="s">
        <v>605</v>
      </c>
      <c r="C57" s="670"/>
      <c r="D57" s="662">
        <f>SUM(Eingabe!C20,Eingabe!C21)</f>
        <v>95</v>
      </c>
      <c r="E57" s="480" t="s">
        <v>0</v>
      </c>
      <c r="F57" s="402"/>
      <c r="G57" s="1040" t="str">
        <f>Eingabe!T79</f>
        <v>projektspez. HCC-Art.-Set: HIT-C-R M24x243</v>
      </c>
      <c r="H57" s="1032"/>
      <c r="I57" s="1032"/>
      <c r="J57" s="1082"/>
      <c r="K57" s="485"/>
      <c r="L57" s="402"/>
      <c r="M57" s="531"/>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row>
    <row r="58" spans="1:51" s="1" customFormat="1" ht="15.45" customHeight="1">
      <c r="A58" s="1079" t="s">
        <v>546</v>
      </c>
      <c r="B58" s="1080"/>
      <c r="C58" s="1080"/>
      <c r="D58" s="1080"/>
      <c r="E58" s="1081"/>
      <c r="F58" s="402"/>
      <c r="G58" s="1040" t="s">
        <v>596</v>
      </c>
      <c r="H58" s="1041"/>
      <c r="I58" s="1041"/>
      <c r="J58" s="1042"/>
      <c r="K58" s="232"/>
      <c r="L58" s="531"/>
      <c r="M58" s="531"/>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row>
    <row r="59" spans="1:51" s="1" customFormat="1" ht="18" customHeight="1">
      <c r="A59" s="30"/>
      <c r="B59" s="497" t="str">
        <f>LEFT(Eingabe!F4,FIND(",",Eingabe!F4)-1)</f>
        <v>Bitumen-Schweißbahn einlagig + Schutzlage</v>
      </c>
      <c r="C59" s="402"/>
      <c r="D59" s="402"/>
      <c r="E59" s="31"/>
      <c r="F59" s="402"/>
      <c r="G59" s="1077" t="str">
        <f>IF(Eingabe!M79=Eingabe!Y56,Eingabe!S55&amp;Eingabe!C15&amp;Eingabe!S56,"Falsche Dimension Kopfbolzen")</f>
        <v xml:space="preserve">und Sechskantmutter M24 </v>
      </c>
      <c r="H59" s="1034"/>
      <c r="I59" s="1034"/>
      <c r="J59" s="1078"/>
      <c r="K59" s="17"/>
      <c r="L59" s="531"/>
      <c r="M59" s="531"/>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row>
    <row r="60" spans="1:51" s="475" customFormat="1" ht="13" customHeight="1">
      <c r="A60" s="5"/>
      <c r="B60" s="477" t="s">
        <v>606</v>
      </c>
      <c r="C60" s="476"/>
      <c r="D60" s="481">
        <f>IF(Eingabe!O105=0,"0",Eingabe!O105)</f>
        <v>8</v>
      </c>
      <c r="E60" s="636" t="s">
        <v>0</v>
      </c>
      <c r="F60" s="402"/>
      <c r="G60" s="1043" t="s">
        <v>582</v>
      </c>
      <c r="H60" s="1044"/>
      <c r="I60" s="1044"/>
      <c r="J60" s="1045"/>
      <c r="K60" s="17"/>
      <c r="L60" s="531"/>
      <c r="M60" s="531"/>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row>
    <row r="61" spans="1:51" s="467" customFormat="1" ht="25.5" customHeight="1">
      <c r="A61" s="402"/>
      <c r="B61" s="521" t="str">
        <f>Eingabe!B2</f>
        <v xml:space="preserve">HILTI Design-Tool Kappenverankerung 8.3            </v>
      </c>
      <c r="C61" s="402"/>
      <c r="D61" s="402"/>
      <c r="E61" s="416"/>
      <c r="F61" s="402"/>
      <c r="G61" s="1034" t="str">
        <f>Eingabe!I2</f>
        <v>Version gültig bis 30.04.2021</v>
      </c>
      <c r="H61" s="1034"/>
      <c r="I61" s="1034"/>
      <c r="J61" s="1034"/>
      <c r="K61" s="17"/>
      <c r="L61" s="531"/>
      <c r="M61" s="531"/>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row>
    <row r="62" spans="1:51" s="1" customFormat="1" ht="15.55">
      <c r="A62" s="1035" t="s">
        <v>145</v>
      </c>
      <c r="B62" s="1035"/>
      <c r="C62" s="1035"/>
      <c r="D62" s="1035"/>
      <c r="E62" s="1035"/>
      <c r="F62" s="1035"/>
      <c r="G62" s="1035"/>
      <c r="H62" s="1035"/>
      <c r="I62" s="1035"/>
      <c r="J62" s="1035"/>
      <c r="K62" s="500"/>
      <c r="L62" s="531"/>
      <c r="M62" s="531"/>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row>
    <row r="63" spans="1:51" s="1" customFormat="1" ht="5.9" customHeight="1">
      <c r="A63" s="402"/>
      <c r="B63" s="402"/>
      <c r="C63" s="402"/>
      <c r="D63" s="402"/>
      <c r="E63" s="402"/>
      <c r="F63" s="402"/>
      <c r="G63" s="402"/>
      <c r="H63" s="402"/>
      <c r="I63" s="402"/>
      <c r="J63" s="402"/>
      <c r="K63" s="402"/>
      <c r="L63" s="531"/>
      <c r="M63" s="531"/>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row>
    <row r="64" spans="1:51" s="1" customFormat="1" ht="16" customHeight="1">
      <c r="A64" s="402"/>
      <c r="B64" s="1083" t="s">
        <v>438</v>
      </c>
      <c r="C64" s="1084"/>
      <c r="D64" s="1084"/>
      <c r="E64" s="1084"/>
      <c r="F64" s="1084"/>
      <c r="G64" s="1084"/>
      <c r="H64" s="1084"/>
      <c r="I64" s="1084"/>
      <c r="J64" s="1084"/>
      <c r="K64" s="402"/>
      <c r="L64" s="531"/>
      <c r="M64" s="531"/>
      <c r="N64" s="276"/>
      <c r="O64" s="276"/>
      <c r="P64" s="276"/>
      <c r="Q64" s="276"/>
      <c r="R64" s="276"/>
      <c r="S64" s="276"/>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row>
    <row r="65" spans="1:51" s="1" customFormat="1" ht="15.45" customHeight="1">
      <c r="A65" s="402"/>
      <c r="B65" s="495" t="str">
        <f>Eingabe!C24</f>
        <v>Anprall Fahrzeugrückhaltesystem</v>
      </c>
      <c r="C65" s="531"/>
      <c r="D65" s="531"/>
      <c r="E65" s="531"/>
      <c r="F65" s="531"/>
      <c r="G65" s="531"/>
      <c r="H65" s="531"/>
      <c r="I65" s="525"/>
      <c r="J65" s="402"/>
      <c r="K65" s="402"/>
      <c r="L65" s="531"/>
      <c r="M65" s="531"/>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row>
    <row r="66" spans="1:51" s="1" customFormat="1" ht="13" customHeight="1">
      <c r="A66" s="402"/>
      <c r="B66" s="17" t="s">
        <v>289</v>
      </c>
      <c r="C66" s="402"/>
      <c r="D66" s="402"/>
      <c r="E66" s="402"/>
      <c r="F66" s="402"/>
      <c r="G66" s="164">
        <f>IF(Eingabe!C25=0,"0,0",Eingabe!C25)</f>
        <v>16.399999999999999</v>
      </c>
      <c r="H66" s="402" t="s">
        <v>101</v>
      </c>
      <c r="I66" s="525"/>
      <c r="J66" s="402"/>
      <c r="K66" s="402"/>
      <c r="L66" s="531"/>
      <c r="M66" s="531"/>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row>
    <row r="67" spans="1:51" s="1" customFormat="1" ht="16.7" customHeight="1">
      <c r="A67" s="402"/>
      <c r="B67" s="407" t="s">
        <v>439</v>
      </c>
      <c r="C67" s="408"/>
      <c r="D67" s="408"/>
      <c r="E67" s="408"/>
      <c r="F67" s="408"/>
      <c r="G67" s="409">
        <f>Eingabe!C26</f>
        <v>90.6</v>
      </c>
      <c r="H67" s="408" t="s">
        <v>98</v>
      </c>
      <c r="I67" s="525"/>
      <c r="J67" s="402"/>
      <c r="K67" s="402"/>
      <c r="L67" s="531"/>
      <c r="M67" s="531"/>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row>
    <row r="68" spans="1:51" s="1" customFormat="1" ht="70.7" customHeight="1">
      <c r="A68" s="402"/>
      <c r="B68" s="1069" t="s">
        <v>554</v>
      </c>
      <c r="C68" s="1069"/>
      <c r="D68" s="1069"/>
      <c r="E68" s="1069"/>
      <c r="F68" s="1069"/>
      <c r="G68" s="1069"/>
      <c r="H68" s="1069"/>
      <c r="I68" s="1069"/>
      <c r="J68" s="1069"/>
      <c r="K68" s="402"/>
      <c r="L68" s="531"/>
      <c r="M68" s="531"/>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row>
    <row r="69" spans="1:51" s="1" customFormat="1" ht="13" customHeight="1">
      <c r="A69" s="402"/>
      <c r="B69" s="69" t="s">
        <v>297</v>
      </c>
      <c r="C69" s="402"/>
      <c r="D69" s="402"/>
      <c r="E69" s="402"/>
      <c r="F69" s="402"/>
      <c r="G69" s="270">
        <f>IF(Eingabe!C29&gt;0,Eingabe!C29,"0,0")</f>
        <v>12</v>
      </c>
      <c r="H69" s="217" t="s">
        <v>287</v>
      </c>
      <c r="I69" s="525"/>
      <c r="J69" s="402"/>
      <c r="K69" s="402"/>
      <c r="L69" s="531"/>
      <c r="M69" s="531"/>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row>
    <row r="70" spans="1:51" s="1" customFormat="1" ht="13" customHeight="1">
      <c r="A70" s="402"/>
      <c r="B70" s="217" t="s">
        <v>298</v>
      </c>
      <c r="C70" s="60"/>
      <c r="D70" s="218"/>
      <c r="E70" s="60"/>
      <c r="F70" s="60"/>
      <c r="G70" s="164">
        <f>IF(Eingabe!C30&gt;0,Eingabe!C30,"0,0")</f>
        <v>12</v>
      </c>
      <c r="H70" s="217" t="s">
        <v>287</v>
      </c>
      <c r="I70" s="525"/>
      <c r="J70" s="402"/>
      <c r="K70" s="402"/>
      <c r="L70" s="531"/>
      <c r="M70" s="531"/>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row>
    <row r="71" spans="1:51" s="1" customFormat="1" ht="13" customHeight="1">
      <c r="A71" s="402"/>
      <c r="B71" s="402"/>
      <c r="C71" s="402"/>
      <c r="D71" s="402"/>
      <c r="E71" s="402"/>
      <c r="F71" s="402"/>
      <c r="G71" s="402"/>
      <c r="H71" s="402"/>
      <c r="I71" s="402"/>
      <c r="J71" s="402"/>
      <c r="K71" s="402"/>
      <c r="L71" s="531"/>
      <c r="M71" s="531"/>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row>
    <row r="72" spans="1:51" s="488" customFormat="1" ht="15.45" customHeight="1">
      <c r="A72" s="928" t="s">
        <v>556</v>
      </c>
      <c r="B72" s="928"/>
      <c r="C72" s="928"/>
      <c r="D72" s="928"/>
      <c r="E72" s="928"/>
      <c r="F72" s="928"/>
      <c r="G72" s="928"/>
      <c r="H72" s="928"/>
      <c r="I72" s="928"/>
      <c r="J72" s="928"/>
      <c r="K72" s="402"/>
      <c r="L72" s="531"/>
      <c r="M72" s="531"/>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row>
    <row r="73" spans="1:51" s="488" customFormat="1" ht="5.5" customHeight="1">
      <c r="A73" s="402"/>
      <c r="B73" s="402"/>
      <c r="C73" s="402"/>
      <c r="D73" s="402"/>
      <c r="E73" s="402"/>
      <c r="F73" s="402"/>
      <c r="G73" s="402"/>
      <c r="H73" s="402"/>
      <c r="I73" s="402"/>
      <c r="J73" s="402"/>
      <c r="K73" s="402"/>
      <c r="L73" s="531"/>
      <c r="M73" s="531"/>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row>
    <row r="74" spans="1:51" s="1" customFormat="1" ht="13" customHeight="1">
      <c r="A74" s="402"/>
      <c r="B74" s="531"/>
      <c r="C74" s="1038" t="s">
        <v>273</v>
      </c>
      <c r="D74" s="1038"/>
      <c r="E74" s="1038"/>
      <c r="F74" s="1038"/>
      <c r="G74" s="1038"/>
      <c r="H74" s="1038"/>
      <c r="I74" s="402"/>
      <c r="J74" s="402"/>
      <c r="K74" s="402"/>
      <c r="L74" s="531"/>
      <c r="M74" s="531"/>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row>
    <row r="75" spans="1:51" s="1" customFormat="1" ht="13" customHeight="1">
      <c r="A75" s="402"/>
      <c r="B75" s="402"/>
      <c r="C75" s="519" t="s">
        <v>30</v>
      </c>
      <c r="D75" s="519" t="s">
        <v>117</v>
      </c>
      <c r="E75" s="27"/>
      <c r="F75" s="27"/>
      <c r="G75" s="519" t="s">
        <v>30</v>
      </c>
      <c r="H75" s="519" t="s">
        <v>117</v>
      </c>
      <c r="I75" s="402"/>
      <c r="J75" s="402"/>
      <c r="K75" s="402"/>
      <c r="L75" s="531"/>
      <c r="M75" s="531"/>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row>
    <row r="76" spans="1:51" s="1" customFormat="1" ht="13" customHeight="1">
      <c r="A76" s="402"/>
      <c r="B76" s="531"/>
      <c r="C76" s="1032" t="s">
        <v>290</v>
      </c>
      <c r="D76" s="1032"/>
      <c r="E76" s="520"/>
      <c r="F76" s="402"/>
      <c r="G76" s="1032" t="s">
        <v>291</v>
      </c>
      <c r="H76" s="1032"/>
      <c r="I76" s="520"/>
      <c r="J76" s="520"/>
      <c r="K76" s="402"/>
      <c r="L76" s="531"/>
      <c r="M76" s="531"/>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row>
    <row r="77" spans="1:51" s="1" customFormat="1" ht="13" customHeight="1">
      <c r="A77" s="402"/>
      <c r="B77" s="402" t="s">
        <v>74</v>
      </c>
      <c r="C77" s="220">
        <f>Eingabe!D41</f>
        <v>4.2779482683033754</v>
      </c>
      <c r="D77" s="220">
        <f>Eingabe!F41</f>
        <v>4.2779482683033754</v>
      </c>
      <c r="E77" s="221"/>
      <c r="F77" s="221"/>
      <c r="G77" s="222">
        <f>Eingabe!H41</f>
        <v>3.3432704953967556</v>
      </c>
      <c r="H77" s="222">
        <f>Eingabe!J41</f>
        <v>3.3432704953967556</v>
      </c>
      <c r="I77" s="17"/>
      <c r="J77" s="17"/>
      <c r="K77" s="402"/>
      <c r="L77" s="531"/>
      <c r="M77" s="531"/>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row>
    <row r="78" spans="1:51" s="1" customFormat="1" ht="13" customHeight="1">
      <c r="A78" s="402"/>
      <c r="B78" s="17" t="s">
        <v>292</v>
      </c>
      <c r="C78" s="220">
        <f>Eingabe!D42</f>
        <v>27.194109375</v>
      </c>
      <c r="D78" s="271">
        <f>Eingabe!F42</f>
        <v>27.194109375</v>
      </c>
      <c r="E78" s="221"/>
      <c r="F78" s="221"/>
      <c r="G78" s="222">
        <f>Eingabe!H42</f>
        <v>27.194109375</v>
      </c>
      <c r="H78" s="222">
        <f>Eingabe!J42</f>
        <v>27.194109375</v>
      </c>
      <c r="I78" s="18"/>
      <c r="J78" s="17"/>
      <c r="K78" s="402"/>
      <c r="L78" s="531"/>
      <c r="M78" s="531"/>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row>
    <row r="79" spans="1:51" s="1" customFormat="1" ht="13" customHeight="1">
      <c r="A79" s="402"/>
      <c r="B79" s="17" t="s">
        <v>293</v>
      </c>
      <c r="C79" s="220">
        <f>Eingabe!D43</f>
        <v>54.38821875</v>
      </c>
      <c r="D79" s="220">
        <f>Eingabe!F43</f>
        <v>27.194109375</v>
      </c>
      <c r="E79" s="221"/>
      <c r="F79" s="221"/>
      <c r="G79" s="222">
        <f>Eingabe!H43</f>
        <v>27.194109375</v>
      </c>
      <c r="H79" s="222">
        <f>Eingabe!J43</f>
        <v>54.38821875</v>
      </c>
      <c r="I79" s="18"/>
      <c r="J79" s="17"/>
      <c r="K79" s="402"/>
      <c r="L79" s="531"/>
      <c r="M79" s="531"/>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6"/>
      <c r="AY79" s="276"/>
    </row>
    <row r="80" spans="1:51" s="1" customFormat="1" ht="5.9" customHeight="1">
      <c r="A80" s="402"/>
      <c r="B80" s="17"/>
      <c r="C80" s="164"/>
      <c r="D80" s="164"/>
      <c r="E80" s="402"/>
      <c r="F80" s="402"/>
      <c r="G80" s="219"/>
      <c r="H80" s="219"/>
      <c r="I80" s="18"/>
      <c r="J80" s="17"/>
      <c r="K80" s="402"/>
      <c r="L80" s="531"/>
      <c r="M80" s="531"/>
      <c r="N80" s="276"/>
      <c r="O80" s="276"/>
      <c r="P80" s="276"/>
      <c r="Q80" s="276"/>
      <c r="R80" s="276"/>
      <c r="S80" s="276"/>
      <c r="T80" s="276"/>
      <c r="U80" s="276"/>
      <c r="V80" s="276"/>
      <c r="W80" s="276"/>
      <c r="X80" s="276"/>
      <c r="Y80" s="276"/>
      <c r="Z80" s="276"/>
      <c r="AA80" s="276"/>
      <c r="AB80" s="276"/>
      <c r="AC80" s="276"/>
      <c r="AD80" s="276"/>
      <c r="AE80" s="276"/>
      <c r="AF80" s="276"/>
      <c r="AG80" s="276"/>
      <c r="AH80" s="276"/>
      <c r="AI80" s="276"/>
      <c r="AJ80" s="276"/>
      <c r="AK80" s="276"/>
      <c r="AL80" s="276"/>
      <c r="AM80" s="276"/>
      <c r="AN80" s="276"/>
      <c r="AO80" s="276"/>
      <c r="AP80" s="276"/>
      <c r="AQ80" s="276"/>
      <c r="AR80" s="276"/>
      <c r="AS80" s="276"/>
      <c r="AT80" s="276"/>
      <c r="AU80" s="276"/>
      <c r="AV80" s="276"/>
      <c r="AW80" s="276"/>
      <c r="AX80" s="276"/>
      <c r="AY80" s="276"/>
    </row>
    <row r="81" spans="1:51" s="1" customFormat="1" ht="13" customHeight="1">
      <c r="A81" s="402"/>
      <c r="B81" s="531"/>
      <c r="C81" s="1038" t="s">
        <v>516</v>
      </c>
      <c r="D81" s="1038"/>
      <c r="E81" s="1038"/>
      <c r="F81" s="1038"/>
      <c r="G81" s="1038"/>
      <c r="H81" s="1038"/>
      <c r="I81" s="18"/>
      <c r="J81" s="17"/>
      <c r="K81" s="402"/>
      <c r="L81" s="531"/>
      <c r="M81" s="531"/>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6"/>
      <c r="AY81" s="276"/>
    </row>
    <row r="82" spans="1:51" s="1" customFormat="1" ht="13" customHeight="1">
      <c r="A82" s="402"/>
      <c r="B82" s="402"/>
      <c r="C82" s="519" t="s">
        <v>30</v>
      </c>
      <c r="D82" s="519" t="s">
        <v>117</v>
      </c>
      <c r="E82" s="27"/>
      <c r="F82" s="27"/>
      <c r="G82" s="519" t="s">
        <v>30</v>
      </c>
      <c r="H82" s="519" t="s">
        <v>117</v>
      </c>
      <c r="I82" s="18"/>
      <c r="J82" s="17"/>
      <c r="K82" s="402"/>
      <c r="L82" s="531"/>
      <c r="M82" s="531"/>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c r="AX82" s="276"/>
      <c r="AY82" s="276"/>
    </row>
    <row r="83" spans="1:51" s="1" customFormat="1" ht="13" customHeight="1">
      <c r="A83" s="402"/>
      <c r="B83" s="531"/>
      <c r="C83" s="1032" t="s">
        <v>294</v>
      </c>
      <c r="D83" s="1032"/>
      <c r="E83" s="520"/>
      <c r="F83" s="402"/>
      <c r="G83" s="1032" t="s">
        <v>295</v>
      </c>
      <c r="H83" s="1032"/>
      <c r="I83" s="18"/>
      <c r="J83" s="17"/>
      <c r="K83" s="402"/>
      <c r="L83" s="531"/>
      <c r="M83" s="531"/>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row>
    <row r="84" spans="1:51" s="1" customFormat="1" ht="13" customHeight="1">
      <c r="A84" s="402"/>
      <c r="B84" s="402" t="s">
        <v>74</v>
      </c>
      <c r="C84" s="220">
        <f>Eingabe!D53</f>
        <v>4.7057430951337125</v>
      </c>
      <c r="D84" s="220">
        <f>Eingabe!F53</f>
        <v>4.7057430951337125</v>
      </c>
      <c r="E84" s="221"/>
      <c r="F84" s="221"/>
      <c r="G84" s="222">
        <f>Eingabe!H53</f>
        <v>3.6775975449364311</v>
      </c>
      <c r="H84" s="222">
        <f>Eingabe!J53</f>
        <v>3.6775975449364311</v>
      </c>
      <c r="I84" s="18"/>
      <c r="J84" s="17"/>
      <c r="K84" s="402"/>
      <c r="L84" s="531"/>
      <c r="M84" s="531"/>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c r="AV84" s="276"/>
      <c r="AW84" s="276"/>
      <c r="AX84" s="276"/>
      <c r="AY84" s="276"/>
    </row>
    <row r="85" spans="1:51" s="1" customFormat="1" ht="13" customHeight="1">
      <c r="A85" s="402"/>
      <c r="B85" s="528" t="s">
        <v>281</v>
      </c>
      <c r="C85" s="220">
        <f>Eingabe!D54</f>
        <v>29.921271248249965</v>
      </c>
      <c r="D85" s="271">
        <f>Eingabe!F54</f>
        <v>29.921271248249965</v>
      </c>
      <c r="E85" s="221"/>
      <c r="F85" s="221"/>
      <c r="G85" s="222">
        <f>Eingabe!H54</f>
        <v>29.921271248249965</v>
      </c>
      <c r="H85" s="222">
        <f>Eingabe!J54</f>
        <v>29.921271248249965</v>
      </c>
      <c r="I85" s="18"/>
      <c r="J85" s="17"/>
      <c r="K85" s="402"/>
      <c r="L85" s="531"/>
      <c r="M85" s="531"/>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row>
    <row r="86" spans="1:51" s="1" customFormat="1" ht="13" customHeight="1">
      <c r="A86" s="402"/>
      <c r="B86" s="528" t="s">
        <v>282</v>
      </c>
      <c r="C86" s="220">
        <f>Eingabe!D55</f>
        <v>59.842542496499931</v>
      </c>
      <c r="D86" s="220">
        <f>Eingabe!F55</f>
        <v>29.921271248249965</v>
      </c>
      <c r="E86" s="221"/>
      <c r="F86" s="221"/>
      <c r="G86" s="222">
        <f>Eingabe!H55</f>
        <v>29.921271248249965</v>
      </c>
      <c r="H86" s="222">
        <f>Eingabe!J55</f>
        <v>59.842542496499931</v>
      </c>
      <c r="I86" s="18"/>
      <c r="J86" s="17"/>
      <c r="K86" s="402"/>
      <c r="L86" s="531"/>
      <c r="M86" s="531"/>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row>
    <row r="87" spans="1:51" s="1" customFormat="1" ht="5.9" customHeight="1">
      <c r="A87" s="402"/>
      <c r="B87" s="402"/>
      <c r="C87" s="402"/>
      <c r="D87" s="9"/>
      <c r="E87" s="402"/>
      <c r="F87" s="402"/>
      <c r="G87" s="12"/>
      <c r="H87" s="12"/>
      <c r="I87" s="13"/>
      <c r="J87" s="12"/>
      <c r="K87" s="402"/>
      <c r="L87" s="531"/>
      <c r="M87" s="531"/>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6"/>
      <c r="AY87" s="276"/>
    </row>
    <row r="88" spans="1:51" s="1" customFormat="1" ht="15.55">
      <c r="A88" s="1035" t="s">
        <v>555</v>
      </c>
      <c r="B88" s="1035"/>
      <c r="C88" s="1035"/>
      <c r="D88" s="1035"/>
      <c r="E88" s="1035"/>
      <c r="F88" s="1035"/>
      <c r="G88" s="1035"/>
      <c r="H88" s="1035"/>
      <c r="I88" s="1035"/>
      <c r="J88" s="1035"/>
      <c r="K88" s="501"/>
      <c r="L88" s="531"/>
      <c r="M88" s="531"/>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c r="AV88" s="276"/>
      <c r="AW88" s="276"/>
      <c r="AX88" s="276"/>
      <c r="AY88" s="276"/>
    </row>
    <row r="89" spans="1:51" s="1" customFormat="1" ht="5.5" customHeight="1">
      <c r="A89" s="402"/>
      <c r="B89" s="402"/>
      <c r="C89" s="402"/>
      <c r="D89" s="9"/>
      <c r="E89" s="402"/>
      <c r="F89" s="402"/>
      <c r="G89" s="12"/>
      <c r="H89" s="12"/>
      <c r="I89" s="13"/>
      <c r="J89" s="12"/>
      <c r="K89" s="402"/>
      <c r="L89" s="531"/>
      <c r="M89" s="531"/>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row>
    <row r="90" spans="1:51" s="1" customFormat="1" ht="13" customHeight="1">
      <c r="A90" s="402"/>
      <c r="B90" s="211"/>
      <c r="C90" s="1038" t="s">
        <v>273</v>
      </c>
      <c r="D90" s="1038"/>
      <c r="E90" s="1038"/>
      <c r="F90" s="1038"/>
      <c r="G90" s="1038"/>
      <c r="H90" s="1038"/>
      <c r="I90" s="211"/>
      <c r="J90" s="211"/>
      <c r="K90" s="211"/>
      <c r="L90" s="531"/>
      <c r="M90" s="531"/>
      <c r="N90" s="276"/>
      <c r="O90" s="276"/>
      <c r="P90" s="276"/>
      <c r="Q90" s="276"/>
      <c r="R90" s="276"/>
      <c r="S90" s="276"/>
      <c r="T90" s="276"/>
      <c r="U90" s="276"/>
      <c r="V90" s="276"/>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c r="AY90" s="276"/>
    </row>
    <row r="91" spans="1:51" s="1" customFormat="1" ht="13" customHeight="1">
      <c r="A91" s="402"/>
      <c r="B91" s="402"/>
      <c r="C91" s="519" t="s">
        <v>30</v>
      </c>
      <c r="D91" s="519" t="s">
        <v>117</v>
      </c>
      <c r="E91" s="27"/>
      <c r="F91" s="27"/>
      <c r="G91" s="519" t="s">
        <v>30</v>
      </c>
      <c r="H91" s="519" t="s">
        <v>117</v>
      </c>
      <c r="I91" s="17"/>
      <c r="J91" s="17"/>
      <c r="K91" s="17"/>
      <c r="L91" s="531"/>
      <c r="M91" s="531"/>
      <c r="N91" s="276"/>
      <c r="O91" s="276"/>
      <c r="P91" s="276"/>
      <c r="Q91" s="276"/>
      <c r="R91" s="276"/>
      <c r="S91" s="276"/>
      <c r="T91" s="276"/>
      <c r="U91" s="276"/>
      <c r="V91" s="276"/>
      <c r="W91" s="276"/>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row>
    <row r="92" spans="1:51" s="1" customFormat="1" ht="13" customHeight="1">
      <c r="A92" s="402"/>
      <c r="B92" s="531"/>
      <c r="C92" s="1032" t="s">
        <v>290</v>
      </c>
      <c r="D92" s="1032"/>
      <c r="E92" s="520"/>
      <c r="F92" s="402"/>
      <c r="G92" s="1032" t="s">
        <v>291</v>
      </c>
      <c r="H92" s="1032"/>
      <c r="I92" s="27"/>
      <c r="J92" s="17"/>
      <c r="K92" s="17"/>
      <c r="L92" s="531"/>
      <c r="M92" s="531"/>
      <c r="N92" s="276"/>
      <c r="O92" s="276"/>
      <c r="P92" s="276"/>
      <c r="Q92" s="276"/>
      <c r="R92" s="276"/>
      <c r="S92" s="276"/>
      <c r="T92" s="276"/>
      <c r="U92" s="276"/>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row>
    <row r="93" spans="1:51" s="456" customFormat="1" ht="13" customHeight="1">
      <c r="A93" s="402"/>
      <c r="B93" s="212" t="s">
        <v>64</v>
      </c>
      <c r="C93" s="459">
        <f>D123</f>
        <v>132.08556149732618</v>
      </c>
      <c r="D93" s="459">
        <f>D198</f>
        <v>132.08556149732618</v>
      </c>
      <c r="E93" s="520"/>
      <c r="F93" s="402"/>
      <c r="G93" s="459">
        <f>D256</f>
        <v>132.08556149732618</v>
      </c>
      <c r="H93" s="459">
        <f>D331</f>
        <v>132.08556149732618</v>
      </c>
      <c r="I93" s="27"/>
      <c r="J93" s="17"/>
      <c r="K93" s="17"/>
      <c r="L93" s="531"/>
      <c r="M93" s="531"/>
      <c r="N93" s="276"/>
      <c r="O93" s="276"/>
      <c r="P93" s="276"/>
      <c r="Q93" s="276"/>
      <c r="R93" s="276"/>
      <c r="S93" s="276"/>
      <c r="T93" s="276"/>
      <c r="U93" s="276"/>
      <c r="V93" s="276"/>
      <c r="W93" s="276"/>
      <c r="X93" s="276"/>
      <c r="Y93" s="276"/>
      <c r="Z93" s="276"/>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row>
    <row r="94" spans="1:51" s="1" customFormat="1" ht="13" customHeight="1">
      <c r="A94" s="402"/>
      <c r="B94" s="212" t="s">
        <v>71</v>
      </c>
      <c r="C94" s="220">
        <f>Eingabe!D45</f>
        <v>53.973326745717607</v>
      </c>
      <c r="D94" s="220">
        <f>Eingabe!F45</f>
        <v>34.202213971405548</v>
      </c>
      <c r="E94" s="221"/>
      <c r="F94" s="221"/>
      <c r="G94" s="222">
        <f>Eingabe!H45</f>
        <v>53.973326745717607</v>
      </c>
      <c r="H94" s="222">
        <f>Eingabe!J45</f>
        <v>34.202213971405548</v>
      </c>
      <c r="I94" s="27"/>
      <c r="J94" s="17"/>
      <c r="K94" s="17"/>
      <c r="L94" s="531"/>
      <c r="M94" s="531"/>
      <c r="N94" s="276"/>
      <c r="O94" s="276"/>
      <c r="P94" s="276"/>
      <c r="Q94" s="276"/>
      <c r="R94" s="276"/>
      <c r="S94" s="276"/>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row>
    <row r="95" spans="1:51" s="1" customFormat="1" ht="13" customHeight="1">
      <c r="A95" s="402"/>
      <c r="B95" s="528" t="s">
        <v>123</v>
      </c>
      <c r="C95" s="220">
        <f>Eingabe!D46</f>
        <v>59.246248656498729</v>
      </c>
      <c r="D95" s="271">
        <f>Eingabe!F46</f>
        <v>84.75</v>
      </c>
      <c r="E95" s="221"/>
      <c r="F95" s="221"/>
      <c r="G95" s="222">
        <f>Eingabe!H46</f>
        <v>59.246248656498729</v>
      </c>
      <c r="H95" s="222">
        <f>Eingabe!J46</f>
        <v>84.75</v>
      </c>
      <c r="I95" s="27"/>
      <c r="J95" s="17"/>
      <c r="K95" s="17"/>
      <c r="L95" s="531"/>
      <c r="M95" s="531"/>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row>
    <row r="96" spans="1:51" s="1" customFormat="1" ht="13" customHeight="1">
      <c r="A96" s="402"/>
      <c r="B96" s="212" t="s">
        <v>65</v>
      </c>
      <c r="C96" s="220">
        <f>Eingabe!D47</f>
        <v>30.470483311968351</v>
      </c>
      <c r="D96" s="220">
        <f>Eingabe!F47</f>
        <v>30.470483311968351</v>
      </c>
      <c r="E96" s="221"/>
      <c r="F96" s="221"/>
      <c r="G96" s="222">
        <f>Eingabe!H47</f>
        <v>30.470483311968351</v>
      </c>
      <c r="H96" s="222">
        <f>Eingabe!J47</f>
        <v>30.693318890866021</v>
      </c>
      <c r="I96" s="17"/>
      <c r="J96" s="17"/>
      <c r="K96" s="17"/>
      <c r="L96" s="531"/>
      <c r="M96" s="531"/>
      <c r="N96" s="276"/>
      <c r="O96" s="276"/>
      <c r="P96" s="276"/>
      <c r="Q96" s="276"/>
      <c r="R96" s="276"/>
      <c r="S96" s="276"/>
      <c r="T96" s="276"/>
      <c r="U96" s="276"/>
      <c r="V96" s="276"/>
      <c r="W96" s="276"/>
      <c r="X96" s="276"/>
      <c r="Y96" s="276"/>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row>
    <row r="97" spans="1:51" s="456" customFormat="1" ht="13" customHeight="1">
      <c r="A97" s="402"/>
      <c r="B97" s="528" t="s">
        <v>494</v>
      </c>
      <c r="C97" s="220">
        <f>Eingabe!D48</f>
        <v>134.93331686429403</v>
      </c>
      <c r="D97" s="222" t="s">
        <v>434</v>
      </c>
      <c r="E97" s="221"/>
      <c r="F97" s="221"/>
      <c r="G97" s="222">
        <f>Eingabe!H48</f>
        <v>134.93331686429403</v>
      </c>
      <c r="H97" s="222" t="s">
        <v>434</v>
      </c>
      <c r="I97" s="17"/>
      <c r="J97" s="17"/>
      <c r="K97" s="17"/>
      <c r="L97" s="531"/>
      <c r="M97" s="531"/>
      <c r="N97" s="276"/>
      <c r="O97" s="276"/>
      <c r="P97" s="276"/>
      <c r="Q97" s="276"/>
      <c r="R97" s="276"/>
      <c r="S97" s="276"/>
      <c r="T97" s="276"/>
      <c r="U97" s="276"/>
      <c r="V97" s="276"/>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row>
    <row r="98" spans="1:51" s="1" customFormat="1" ht="13" customHeight="1">
      <c r="A98" s="402"/>
      <c r="B98" s="223" t="s">
        <v>296</v>
      </c>
      <c r="C98" s="524">
        <f>Eingabe!D49</f>
        <v>80.977854917309827</v>
      </c>
      <c r="D98" s="524">
        <f>Eingabe!F49</f>
        <v>84.795996148612602</v>
      </c>
      <c r="E98" s="27"/>
      <c r="F98" s="27"/>
      <c r="G98" s="524">
        <f>Eingabe!H49</f>
        <v>79.53473812045489</v>
      </c>
      <c r="H98" s="524">
        <f>Eingabe!J49</f>
        <v>81.978711895705104</v>
      </c>
      <c r="I98" s="17"/>
      <c r="J98" s="17"/>
      <c r="K98" s="17"/>
      <c r="L98" s="531"/>
      <c r="M98" s="531"/>
      <c r="N98" s="276"/>
      <c r="O98" s="276"/>
      <c r="P98" s="276"/>
      <c r="Q98" s="276"/>
      <c r="R98" s="276"/>
      <c r="S98" s="276"/>
      <c r="T98" s="276"/>
      <c r="U98" s="276"/>
      <c r="V98" s="276"/>
      <c r="W98" s="276"/>
      <c r="X98" s="276"/>
      <c r="Y98" s="276"/>
      <c r="Z98" s="276"/>
      <c r="AA98" s="276"/>
      <c r="AB98" s="276"/>
      <c r="AC98" s="276"/>
      <c r="AD98" s="276"/>
      <c r="AE98" s="276"/>
      <c r="AF98" s="276"/>
      <c r="AG98" s="276"/>
      <c r="AH98" s="276"/>
      <c r="AI98" s="276"/>
      <c r="AJ98" s="276"/>
      <c r="AK98" s="276"/>
      <c r="AL98" s="276"/>
      <c r="AM98" s="276"/>
      <c r="AN98" s="276"/>
      <c r="AO98" s="276"/>
      <c r="AP98" s="276"/>
      <c r="AQ98" s="276"/>
      <c r="AR98" s="276"/>
      <c r="AS98" s="276"/>
      <c r="AT98" s="276"/>
      <c r="AU98" s="276"/>
      <c r="AV98" s="276"/>
      <c r="AW98" s="276"/>
      <c r="AX98" s="276"/>
      <c r="AY98" s="276"/>
    </row>
    <row r="99" spans="1:51" s="1" customFormat="1" ht="13" customHeight="1">
      <c r="A99" s="402"/>
      <c r="B99" s="223"/>
      <c r="C99" s="1039" t="str">
        <f>Eingabe!F29</f>
        <v>Verankerung Mittelbereich zulässig</v>
      </c>
      <c r="D99" s="1039"/>
      <c r="E99" s="1039"/>
      <c r="F99" s="1039"/>
      <c r="G99" s="1039"/>
      <c r="H99" s="1039"/>
      <c r="I99" s="17"/>
      <c r="J99" s="17"/>
      <c r="K99" s="17"/>
      <c r="L99" s="531"/>
      <c r="M99" s="531"/>
      <c r="N99" s="276"/>
      <c r="O99" s="276"/>
      <c r="P99" s="276"/>
      <c r="Q99" s="276"/>
      <c r="R99" s="276"/>
      <c r="S99" s="276"/>
      <c r="T99" s="276"/>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row>
    <row r="100" spans="1:51" s="1" customFormat="1" ht="5.9" customHeight="1">
      <c r="A100" s="402"/>
      <c r="B100" s="17"/>
      <c r="C100" s="164"/>
      <c r="D100" s="164"/>
      <c r="E100" s="402"/>
      <c r="F100" s="402"/>
      <c r="G100" s="219"/>
      <c r="H100" s="219"/>
      <c r="I100" s="211"/>
      <c r="J100" s="211"/>
      <c r="K100" s="211"/>
      <c r="L100" s="531"/>
      <c r="M100" s="531"/>
      <c r="N100" s="276"/>
      <c r="O100" s="276"/>
      <c r="P100" s="276"/>
      <c r="Q100" s="276"/>
      <c r="R100" s="276"/>
      <c r="S100" s="276"/>
      <c r="T100" s="276"/>
      <c r="U100" s="276"/>
      <c r="V100" s="276"/>
      <c r="W100" s="276"/>
      <c r="X100" s="276"/>
      <c r="Y100" s="276"/>
      <c r="Z100" s="276"/>
      <c r="AA100" s="276"/>
      <c r="AB100" s="276"/>
      <c r="AC100" s="276"/>
      <c r="AD100" s="276"/>
      <c r="AE100" s="276"/>
      <c r="AF100" s="276"/>
      <c r="AG100" s="276"/>
      <c r="AH100" s="276"/>
      <c r="AI100" s="276"/>
      <c r="AJ100" s="276"/>
      <c r="AK100" s="276"/>
      <c r="AL100" s="276"/>
      <c r="AM100" s="276"/>
      <c r="AN100" s="276"/>
      <c r="AO100" s="276"/>
      <c r="AP100" s="276"/>
      <c r="AQ100" s="276"/>
      <c r="AR100" s="276"/>
      <c r="AS100" s="276"/>
      <c r="AT100" s="276"/>
      <c r="AU100" s="276"/>
      <c r="AV100" s="276"/>
      <c r="AW100" s="276"/>
      <c r="AX100" s="276"/>
      <c r="AY100" s="276"/>
    </row>
    <row r="101" spans="1:51" s="1" customFormat="1" ht="13" customHeight="1">
      <c r="A101" s="402"/>
      <c r="B101" s="402"/>
      <c r="C101" s="1038" t="s">
        <v>516</v>
      </c>
      <c r="D101" s="1038"/>
      <c r="E101" s="1038"/>
      <c r="F101" s="1038"/>
      <c r="G101" s="1038"/>
      <c r="H101" s="1038"/>
      <c r="I101" s="17"/>
      <c r="J101" s="17"/>
      <c r="K101" s="17"/>
      <c r="L101" s="531"/>
      <c r="M101" s="531"/>
      <c r="N101" s="276"/>
      <c r="O101" s="276"/>
      <c r="P101" s="276"/>
      <c r="Q101" s="276"/>
      <c r="R101" s="276"/>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row>
    <row r="102" spans="1:51" s="1" customFormat="1" ht="13" customHeight="1">
      <c r="A102" s="402"/>
      <c r="B102" s="402"/>
      <c r="C102" s="519" t="s">
        <v>263</v>
      </c>
      <c r="D102" s="519" t="s">
        <v>117</v>
      </c>
      <c r="E102" s="27"/>
      <c r="F102" s="27"/>
      <c r="G102" s="519" t="s">
        <v>263</v>
      </c>
      <c r="H102" s="519" t="s">
        <v>117</v>
      </c>
      <c r="I102" s="165"/>
      <c r="J102" s="165"/>
      <c r="K102" s="17"/>
      <c r="L102" s="531"/>
      <c r="M102" s="531"/>
      <c r="N102" s="276"/>
      <c r="O102" s="276"/>
      <c r="P102" s="276"/>
      <c r="Q102" s="276"/>
      <c r="R102" s="276"/>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276"/>
      <c r="AN102" s="276"/>
      <c r="AO102" s="276"/>
      <c r="AP102" s="276"/>
      <c r="AQ102" s="276"/>
      <c r="AR102" s="276"/>
      <c r="AS102" s="276"/>
      <c r="AT102" s="276"/>
      <c r="AU102" s="276"/>
      <c r="AV102" s="276"/>
      <c r="AW102" s="276"/>
      <c r="AX102" s="276"/>
      <c r="AY102" s="276"/>
    </row>
    <row r="103" spans="1:51" s="1" customFormat="1" ht="13" customHeight="1">
      <c r="A103" s="402"/>
      <c r="B103" s="531"/>
      <c r="C103" s="1032" t="s">
        <v>290</v>
      </c>
      <c r="D103" s="1032"/>
      <c r="E103" s="520"/>
      <c r="F103" s="402"/>
      <c r="G103" s="1032" t="s">
        <v>291</v>
      </c>
      <c r="H103" s="1032"/>
      <c r="I103" s="165"/>
      <c r="J103" s="165"/>
      <c r="K103" s="17"/>
      <c r="L103" s="531"/>
      <c r="M103" s="531"/>
      <c r="N103" s="276"/>
      <c r="O103" s="276"/>
      <c r="P103" s="276"/>
      <c r="Q103" s="276"/>
      <c r="R103" s="276"/>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row>
    <row r="104" spans="1:51" s="456" customFormat="1" ht="13" customHeight="1">
      <c r="A104" s="402"/>
      <c r="B104" s="212" t="s">
        <v>64</v>
      </c>
      <c r="C104" s="459">
        <f>D389</f>
        <v>132.08556149732618</v>
      </c>
      <c r="D104" s="459">
        <f>D464</f>
        <v>132.08556149732618</v>
      </c>
      <c r="E104" s="520"/>
      <c r="F104" s="402"/>
      <c r="G104" s="459">
        <f>D522</f>
        <v>132.08556149732618</v>
      </c>
      <c r="H104" s="459">
        <f>D597</f>
        <v>132.08556149732618</v>
      </c>
      <c r="I104" s="165"/>
      <c r="J104" s="165"/>
      <c r="K104" s="17"/>
      <c r="L104" s="531"/>
      <c r="M104" s="531"/>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row>
    <row r="105" spans="1:51" s="1" customFormat="1" ht="13" customHeight="1">
      <c r="A105" s="402"/>
      <c r="B105" s="212" t="s">
        <v>71</v>
      </c>
      <c r="C105" s="220">
        <f>Eingabe!D57</f>
        <v>53.973326745717607</v>
      </c>
      <c r="D105" s="220">
        <f>Eingabe!F57</f>
        <v>34.202213971405548</v>
      </c>
      <c r="E105" s="221"/>
      <c r="F105" s="221"/>
      <c r="G105" s="222">
        <f>Eingabe!H57</f>
        <v>53.973326745717607</v>
      </c>
      <c r="H105" s="222">
        <f>Eingabe!J57</f>
        <v>34.202213971405548</v>
      </c>
      <c r="I105" s="165"/>
      <c r="J105" s="165"/>
      <c r="K105" s="17"/>
      <c r="L105" s="531"/>
      <c r="M105" s="531"/>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c r="AQ105" s="276"/>
      <c r="AR105" s="276"/>
      <c r="AS105" s="276"/>
      <c r="AT105" s="276"/>
      <c r="AU105" s="276"/>
      <c r="AV105" s="276"/>
      <c r="AW105" s="276"/>
      <c r="AX105" s="276"/>
      <c r="AY105" s="276"/>
    </row>
    <row r="106" spans="1:51" s="1" customFormat="1" ht="13" customHeight="1">
      <c r="A106" s="402"/>
      <c r="B106" s="528" t="s">
        <v>123</v>
      </c>
      <c r="C106" s="220">
        <f>Eingabe!D58</f>
        <v>59.246248656498729</v>
      </c>
      <c r="D106" s="271">
        <f>Eingabe!F58</f>
        <v>84.75</v>
      </c>
      <c r="E106" s="221"/>
      <c r="F106" s="221"/>
      <c r="G106" s="222">
        <f>Eingabe!H58</f>
        <v>59.246248656498729</v>
      </c>
      <c r="H106" s="222">
        <f>Eingabe!J58</f>
        <v>84.75</v>
      </c>
      <c r="I106" s="165"/>
      <c r="J106" s="165"/>
      <c r="K106" s="17"/>
      <c r="L106" s="531"/>
      <c r="M106" s="531"/>
      <c r="N106" s="277"/>
      <c r="O106" s="277"/>
      <c r="P106" s="277"/>
      <c r="Q106" s="277"/>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6"/>
      <c r="AY106" s="276"/>
    </row>
    <row r="107" spans="1:51" s="1" customFormat="1" ht="13" customHeight="1">
      <c r="A107" s="402"/>
      <c r="B107" s="212" t="s">
        <v>65</v>
      </c>
      <c r="C107" s="220">
        <f>Eingabe!D59</f>
        <v>30.368493181626725</v>
      </c>
      <c r="D107" s="220">
        <f>Eingabe!F59</f>
        <v>30.368493181626725</v>
      </c>
      <c r="E107" s="221"/>
      <c r="F107" s="221"/>
      <c r="G107" s="222">
        <f>Eingabe!H59</f>
        <v>30.613612318414162</v>
      </c>
      <c r="H107" s="222">
        <f>Eingabe!J59</f>
        <v>30.613612318414162</v>
      </c>
      <c r="I107" s="17"/>
      <c r="J107" s="17"/>
      <c r="K107" s="17"/>
      <c r="L107" s="531"/>
      <c r="M107" s="531"/>
      <c r="N107" s="277"/>
      <c r="O107" s="278"/>
      <c r="P107" s="279"/>
      <c r="Q107" s="277"/>
      <c r="R107" s="276"/>
      <c r="S107" s="276"/>
      <c r="T107" s="276"/>
      <c r="U107" s="276"/>
      <c r="V107" s="276"/>
      <c r="W107" s="276"/>
      <c r="X107" s="276"/>
      <c r="Y107" s="276"/>
      <c r="Z107" s="276"/>
      <c r="AA107" s="276"/>
      <c r="AB107" s="276"/>
      <c r="AC107" s="276"/>
      <c r="AD107" s="276"/>
      <c r="AE107" s="276"/>
      <c r="AF107" s="276"/>
      <c r="AG107" s="276"/>
      <c r="AH107" s="276"/>
      <c r="AI107" s="276"/>
      <c r="AJ107" s="276"/>
      <c r="AK107" s="276"/>
      <c r="AL107" s="276"/>
      <c r="AM107" s="276"/>
      <c r="AN107" s="276"/>
      <c r="AO107" s="276"/>
      <c r="AP107" s="276"/>
      <c r="AQ107" s="276"/>
      <c r="AR107" s="276"/>
      <c r="AS107" s="276"/>
      <c r="AT107" s="276"/>
      <c r="AU107" s="276"/>
      <c r="AV107" s="276"/>
      <c r="AW107" s="276"/>
      <c r="AX107" s="276"/>
      <c r="AY107" s="276"/>
    </row>
    <row r="108" spans="1:51" s="456" customFormat="1" ht="13" customHeight="1">
      <c r="A108" s="402"/>
      <c r="B108" s="528" t="s">
        <v>494</v>
      </c>
      <c r="C108" s="220">
        <f>Eingabe!D60</f>
        <v>134.93331686429403</v>
      </c>
      <c r="D108" s="222" t="s">
        <v>434</v>
      </c>
      <c r="E108" s="221"/>
      <c r="F108" s="221"/>
      <c r="G108" s="222">
        <f>Eingabe!H60</f>
        <v>134.93331686429403</v>
      </c>
      <c r="H108" s="222" t="s">
        <v>434</v>
      </c>
      <c r="I108" s="17"/>
      <c r="J108" s="17"/>
      <c r="K108" s="17"/>
      <c r="L108" s="531"/>
      <c r="M108" s="531"/>
      <c r="N108" s="277"/>
      <c r="O108" s="278"/>
      <c r="P108" s="279"/>
      <c r="Q108" s="277"/>
      <c r="R108" s="276"/>
      <c r="S108" s="276"/>
      <c r="T108" s="276"/>
      <c r="U108" s="276"/>
      <c r="V108" s="276"/>
      <c r="W108" s="276"/>
      <c r="X108" s="276"/>
      <c r="Y108" s="276"/>
      <c r="Z108" s="276"/>
      <c r="AA108" s="276"/>
      <c r="AB108" s="276"/>
      <c r="AC108" s="276"/>
      <c r="AD108" s="276"/>
      <c r="AE108" s="276"/>
      <c r="AF108" s="276"/>
      <c r="AG108" s="276"/>
      <c r="AH108" s="276"/>
      <c r="AI108" s="276"/>
      <c r="AJ108" s="276"/>
      <c r="AK108" s="276"/>
      <c r="AL108" s="276"/>
      <c r="AM108" s="276"/>
      <c r="AN108" s="276"/>
      <c r="AO108" s="276"/>
      <c r="AP108" s="276"/>
      <c r="AQ108" s="276"/>
      <c r="AR108" s="276"/>
      <c r="AS108" s="276"/>
      <c r="AT108" s="276"/>
      <c r="AU108" s="276"/>
      <c r="AV108" s="276"/>
      <c r="AW108" s="276"/>
      <c r="AX108" s="276"/>
      <c r="AY108" s="276"/>
    </row>
    <row r="109" spans="1:51" s="1" customFormat="1" ht="13" customHeight="1">
      <c r="A109" s="402"/>
      <c r="B109" s="223" t="s">
        <v>296</v>
      </c>
      <c r="C109" s="524">
        <f>Eingabe!D61</f>
        <v>89.371662153152812</v>
      </c>
      <c r="D109" s="524">
        <f>Eingabe!F61</f>
        <v>93.571617507585842</v>
      </c>
      <c r="E109" s="27"/>
      <c r="F109" s="27"/>
      <c r="G109" s="524">
        <f>Eingabe!H61</f>
        <v>87.126820821788982</v>
      </c>
      <c r="H109" s="524">
        <f>Eingabe!J61</f>
        <v>90.409138871892111</v>
      </c>
      <c r="I109" s="17"/>
      <c r="J109" s="17"/>
      <c r="K109" s="17"/>
      <c r="L109" s="531"/>
      <c r="M109" s="531"/>
      <c r="N109" s="277"/>
      <c r="O109" s="278"/>
      <c r="P109" s="279"/>
      <c r="Q109" s="277"/>
      <c r="R109" s="276"/>
      <c r="S109" s="276"/>
      <c r="T109" s="276"/>
      <c r="U109" s="276"/>
      <c r="V109" s="276"/>
      <c r="W109" s="276"/>
      <c r="X109" s="276"/>
      <c r="Y109" s="276"/>
      <c r="Z109" s="276"/>
      <c r="AA109" s="276"/>
      <c r="AB109" s="276"/>
      <c r="AC109" s="276"/>
      <c r="AD109" s="276"/>
      <c r="AE109" s="276"/>
      <c r="AF109" s="276"/>
      <c r="AG109" s="276"/>
      <c r="AH109" s="276"/>
      <c r="AI109" s="276"/>
      <c r="AJ109" s="276"/>
      <c r="AK109" s="276"/>
      <c r="AL109" s="276"/>
      <c r="AM109" s="276"/>
      <c r="AN109" s="276"/>
      <c r="AO109" s="276"/>
      <c r="AP109" s="276"/>
      <c r="AQ109" s="276"/>
      <c r="AR109" s="276"/>
      <c r="AS109" s="276"/>
      <c r="AT109" s="276"/>
      <c r="AU109" s="276"/>
      <c r="AV109" s="276"/>
      <c r="AW109" s="276"/>
      <c r="AX109" s="276"/>
      <c r="AY109" s="276"/>
    </row>
    <row r="110" spans="1:51" s="1" customFormat="1" ht="13" customHeight="1">
      <c r="A110" s="402"/>
      <c r="B110" s="17"/>
      <c r="C110" s="1034" t="str">
        <f>Eingabe!F33</f>
        <v>Verankerung Randbereich zulässig</v>
      </c>
      <c r="D110" s="1034"/>
      <c r="E110" s="1034"/>
      <c r="F110" s="1034"/>
      <c r="G110" s="1034"/>
      <c r="H110" s="1034"/>
      <c r="I110" s="17"/>
      <c r="J110" s="17"/>
      <c r="K110" s="17"/>
      <c r="L110" s="531"/>
      <c r="M110" s="531"/>
      <c r="N110" s="402"/>
      <c r="O110" s="272"/>
      <c r="P110" s="10"/>
      <c r="Q110" s="402"/>
      <c r="R110" s="531"/>
      <c r="S110" s="531"/>
      <c r="T110" s="531"/>
      <c r="U110" s="531"/>
      <c r="V110" s="531"/>
      <c r="W110" s="531"/>
      <c r="X110" s="531"/>
      <c r="Y110" s="531"/>
      <c r="Z110" s="531"/>
    </row>
    <row r="111" spans="1:51" s="1" customFormat="1" ht="9.25" customHeight="1">
      <c r="A111" s="402"/>
      <c r="B111" s="17"/>
      <c r="C111" s="519"/>
      <c r="D111" s="519"/>
      <c r="E111" s="519"/>
      <c r="F111" s="519"/>
      <c r="G111" s="519"/>
      <c r="H111" s="519"/>
      <c r="I111" s="17"/>
      <c r="J111" s="17"/>
      <c r="K111" s="17"/>
      <c r="L111" s="531"/>
      <c r="M111" s="531"/>
      <c r="N111" s="402"/>
      <c r="O111" s="272"/>
      <c r="P111" s="10"/>
      <c r="Q111" s="402"/>
      <c r="R111" s="531"/>
      <c r="S111" s="531"/>
      <c r="T111" s="531"/>
      <c r="U111" s="531"/>
      <c r="V111" s="531"/>
      <c r="W111" s="531"/>
      <c r="X111" s="531"/>
      <c r="Y111" s="531"/>
      <c r="Z111" s="531"/>
    </row>
    <row r="112" spans="1:51" s="1" customFormat="1">
      <c r="A112" s="1036" t="s">
        <v>580</v>
      </c>
      <c r="B112" s="1036"/>
      <c r="C112" s="1036"/>
      <c r="D112" s="1036"/>
      <c r="E112" s="1036"/>
      <c r="F112" s="1036"/>
      <c r="G112" s="1036"/>
      <c r="H112" s="1036"/>
      <c r="I112" s="1036"/>
      <c r="J112" s="1036"/>
      <c r="K112" s="521"/>
      <c r="L112" s="531"/>
      <c r="M112" s="531"/>
      <c r="N112" s="402"/>
      <c r="O112" s="272"/>
      <c r="P112" s="10"/>
      <c r="Q112" s="402"/>
      <c r="R112" s="531"/>
      <c r="S112" s="531"/>
      <c r="T112" s="531"/>
      <c r="U112" s="531"/>
      <c r="V112" s="531"/>
      <c r="W112" s="531"/>
      <c r="X112" s="531"/>
      <c r="Y112" s="531"/>
      <c r="Z112" s="531"/>
    </row>
    <row r="113" spans="1:26" s="1" customFormat="1" ht="14.15" customHeight="1">
      <c r="A113" s="1037" t="str">
        <f>"Querkraftübertragung Kappe → Tragwerk (Überbau): "&amp;(Eingabe!C33)</f>
        <v>Querkraftübertragung Kappe → Tragwerk (Überbau): Kappenverankerung HCC</v>
      </c>
      <c r="B113" s="1037"/>
      <c r="C113" s="1037"/>
      <c r="D113" s="1037"/>
      <c r="E113" s="1037"/>
      <c r="F113" s="1037"/>
      <c r="G113" s="1037"/>
      <c r="H113" s="1037"/>
      <c r="I113" s="1037"/>
      <c r="J113" s="1037"/>
      <c r="K113" s="522"/>
      <c r="L113" s="531"/>
      <c r="M113" s="531"/>
      <c r="N113" s="402"/>
      <c r="O113" s="272"/>
      <c r="P113" s="10"/>
      <c r="Q113" s="402"/>
      <c r="R113" s="531"/>
      <c r="S113" s="531"/>
      <c r="T113" s="531"/>
      <c r="U113" s="531"/>
      <c r="V113" s="531"/>
      <c r="W113" s="531"/>
      <c r="X113" s="531"/>
      <c r="Y113" s="531"/>
      <c r="Z113" s="531"/>
    </row>
    <row r="114" spans="1:26" s="1" customFormat="1" ht="3.45" customHeight="1">
      <c r="A114" s="402"/>
      <c r="B114" s="520"/>
      <c r="C114" s="520"/>
      <c r="D114" s="520"/>
      <c r="E114" s="520"/>
      <c r="F114" s="520"/>
      <c r="G114" s="520"/>
      <c r="H114" s="520"/>
      <c r="I114" s="520"/>
      <c r="J114" s="520"/>
      <c r="K114" s="520"/>
      <c r="L114" s="531"/>
      <c r="M114" s="531"/>
      <c r="N114" s="402"/>
      <c r="O114" s="272"/>
      <c r="P114" s="9"/>
      <c r="Q114" s="273"/>
      <c r="R114" s="531"/>
      <c r="S114" s="531"/>
      <c r="T114" s="531"/>
      <c r="U114" s="531"/>
      <c r="V114" s="531"/>
      <c r="W114" s="531"/>
      <c r="X114" s="531"/>
      <c r="Y114" s="531"/>
      <c r="Z114" s="531"/>
    </row>
    <row r="115" spans="1:26" s="1" customFormat="1" ht="16.7" customHeight="1">
      <c r="A115" s="1035" t="s">
        <v>540</v>
      </c>
      <c r="B115" s="1035"/>
      <c r="C115" s="1035"/>
      <c r="D115" s="1035"/>
      <c r="E115" s="1035"/>
      <c r="F115" s="1035"/>
      <c r="G115" s="1035"/>
      <c r="H115" s="1035"/>
      <c r="I115" s="1035"/>
      <c r="J115" s="1035"/>
      <c r="K115" s="500"/>
      <c r="L115" s="531"/>
      <c r="M115" s="531"/>
      <c r="N115" s="402"/>
      <c r="O115" s="272"/>
      <c r="P115" s="9"/>
      <c r="Q115" s="273"/>
      <c r="R115" s="531"/>
      <c r="S115" s="531"/>
      <c r="T115" s="531"/>
      <c r="U115" s="531"/>
      <c r="V115" s="531"/>
      <c r="W115" s="531"/>
      <c r="X115" s="531"/>
      <c r="Y115" s="531"/>
      <c r="Z115" s="531"/>
    </row>
    <row r="116" spans="1:26" s="1" customFormat="1" ht="82.55" customHeight="1">
      <c r="A116" s="402"/>
      <c r="B116" s="1068" t="s">
        <v>1551</v>
      </c>
      <c r="C116" s="1055"/>
      <c r="D116" s="1055"/>
      <c r="E116" s="1055"/>
      <c r="F116" s="1055"/>
      <c r="G116" s="1055"/>
      <c r="H116" s="1055"/>
      <c r="I116" s="1055"/>
      <c r="J116" s="12"/>
      <c r="K116" s="402"/>
      <c r="L116" s="531"/>
      <c r="M116" s="531"/>
      <c r="N116" s="531"/>
      <c r="O116" s="531"/>
      <c r="P116" s="531"/>
      <c r="Q116" s="531"/>
      <c r="R116" s="531"/>
      <c r="S116" s="531"/>
      <c r="T116" s="531"/>
      <c r="U116" s="531"/>
      <c r="V116" s="531"/>
      <c r="W116" s="531"/>
      <c r="X116" s="531"/>
      <c r="Y116" s="531"/>
      <c r="Z116" s="531"/>
    </row>
    <row r="117" spans="1:26" s="239" customFormat="1" ht="14.15" customHeight="1">
      <c r="A117" s="1033" t="s">
        <v>1156</v>
      </c>
      <c r="B117" s="1033"/>
      <c r="C117" s="1033"/>
      <c r="D117" s="1033"/>
      <c r="E117" s="1033"/>
      <c r="F117" s="1033"/>
      <c r="G117" s="1033"/>
      <c r="H117" s="1033"/>
      <c r="I117" s="1033"/>
      <c r="J117" s="1033"/>
      <c r="K117" s="502"/>
    </row>
    <row r="118" spans="1:26" s="239" customFormat="1" ht="5.9" customHeight="1">
      <c r="A118" s="4"/>
      <c r="B118" s="240"/>
      <c r="C118" s="240"/>
      <c r="D118" s="240"/>
      <c r="E118" s="240"/>
      <c r="F118" s="240"/>
      <c r="G118" s="240"/>
      <c r="H118" s="240"/>
      <c r="I118" s="240"/>
      <c r="J118" s="240"/>
      <c r="K118" s="4"/>
    </row>
    <row r="119" spans="1:26" s="239" customFormat="1" ht="13" customHeight="1">
      <c r="A119" s="1032" t="s">
        <v>514</v>
      </c>
      <c r="B119" s="1032"/>
      <c r="C119" s="1032"/>
      <c r="D119" s="1032"/>
      <c r="E119" s="1032"/>
      <c r="F119" s="1032"/>
      <c r="G119" s="1032"/>
      <c r="H119" s="1032"/>
      <c r="I119" s="1032"/>
      <c r="J119" s="1032"/>
      <c r="K119" s="520"/>
    </row>
    <row r="120" spans="1:26" s="239" customFormat="1" ht="13" customHeight="1">
      <c r="A120" s="17"/>
      <c r="B120" s="14" t="s">
        <v>1</v>
      </c>
      <c r="C120" s="232"/>
      <c r="D120" s="232"/>
      <c r="E120" s="232"/>
      <c r="F120" s="17"/>
      <c r="G120" s="527"/>
      <c r="H120" s="527"/>
      <c r="I120" s="527"/>
      <c r="J120" s="527"/>
      <c r="K120" s="17"/>
    </row>
    <row r="121" spans="1:26" s="239" customFormat="1" ht="13" customHeight="1">
      <c r="A121" s="17"/>
      <c r="B121" s="17"/>
      <c r="C121" s="527" t="s">
        <v>4</v>
      </c>
      <c r="D121" s="21">
        <f>INDEX(Tragwerk!$B$23:$D$23,1,MATCH(Eingabe!$C$4,Tragwerk!$B$14:$D$14))</f>
        <v>247</v>
      </c>
      <c r="E121" s="19" t="s">
        <v>2</v>
      </c>
      <c r="F121" s="17"/>
      <c r="G121" s="527" t="s">
        <v>361</v>
      </c>
      <c r="H121" s="527"/>
      <c r="I121" s="527"/>
      <c r="J121" s="527"/>
      <c r="K121" s="17"/>
    </row>
    <row r="122" spans="1:26" s="239" customFormat="1" ht="13" customHeight="1">
      <c r="A122" s="17"/>
      <c r="B122" s="17"/>
      <c r="C122" s="17" t="s">
        <v>3</v>
      </c>
      <c r="D122" s="21">
        <f>Tragwerk!$B$24</f>
        <v>1.87</v>
      </c>
      <c r="E122" s="19" t="s">
        <v>7</v>
      </c>
      <c r="F122" s="17"/>
      <c r="G122" s="527" t="s">
        <v>359</v>
      </c>
      <c r="H122" s="527"/>
      <c r="I122" s="527"/>
      <c r="J122" s="527"/>
      <c r="K122" s="17"/>
    </row>
    <row r="123" spans="1:26" s="239" customFormat="1" ht="13" customHeight="1">
      <c r="A123" s="17"/>
      <c r="B123" s="17"/>
      <c r="C123" s="527" t="s">
        <v>64</v>
      </c>
      <c r="D123" s="21">
        <f>INDEX(Tragwerk!B25:D25,1,MATCH(Eingabe!C4,Tragwerk!B14:D14))</f>
        <v>132.08556149732618</v>
      </c>
      <c r="E123" s="19" t="s">
        <v>2</v>
      </c>
      <c r="F123" s="17"/>
      <c r="G123" s="527" t="s">
        <v>73</v>
      </c>
      <c r="H123" s="527"/>
      <c r="I123" s="527"/>
      <c r="J123" s="527"/>
      <c r="K123" s="17"/>
    </row>
    <row r="124" spans="1:26" s="239" customFormat="1" ht="13" customHeight="1">
      <c r="A124" s="17"/>
      <c r="B124" s="17"/>
      <c r="C124" s="527" t="s">
        <v>302</v>
      </c>
      <c r="D124" s="21">
        <f>Tragwerk!$B$60</f>
        <v>4.2779482683033754</v>
      </c>
      <c r="E124" s="19" t="s">
        <v>2</v>
      </c>
      <c r="F124" s="17"/>
      <c r="G124" s="527" t="s">
        <v>75</v>
      </c>
      <c r="H124" s="527"/>
      <c r="I124" s="527"/>
      <c r="J124" s="527"/>
      <c r="K124" s="17"/>
    </row>
    <row r="125" spans="1:26" s="239" customFormat="1" ht="13" customHeight="1">
      <c r="A125" s="17"/>
      <c r="B125" s="17"/>
      <c r="C125" s="25" t="s">
        <v>88</v>
      </c>
      <c r="D125" s="26">
        <f>D124/D123</f>
        <v>3.2387705513066044E-2</v>
      </c>
      <c r="E125" s="520" t="s">
        <v>7</v>
      </c>
      <c r="F125" s="27"/>
      <c r="G125" s="24" t="s">
        <v>46</v>
      </c>
      <c r="H125" s="527"/>
      <c r="I125" s="527"/>
      <c r="J125" s="527"/>
      <c r="K125" s="17"/>
      <c r="M125" s="527"/>
      <c r="N125" s="527"/>
      <c r="O125" s="18"/>
      <c r="P125" s="17"/>
    </row>
    <row r="126" spans="1:26" s="239" customFormat="1" ht="5.9" customHeight="1">
      <c r="A126" s="4"/>
      <c r="B126" s="240"/>
      <c r="C126" s="240"/>
      <c r="D126" s="240"/>
      <c r="E126" s="240"/>
      <c r="F126" s="240"/>
      <c r="G126" s="240"/>
      <c r="H126" s="240"/>
      <c r="I126" s="240"/>
      <c r="J126" s="240"/>
      <c r="K126" s="4"/>
    </row>
    <row r="127" spans="1:26" s="239" customFormat="1" ht="13" customHeight="1">
      <c r="A127" s="17"/>
      <c r="B127" s="233" t="s">
        <v>132</v>
      </c>
      <c r="C127" s="19"/>
      <c r="D127" s="19"/>
      <c r="E127" s="17"/>
      <c r="F127" s="17"/>
      <c r="G127" s="527"/>
      <c r="H127" s="527"/>
      <c r="I127" s="527"/>
      <c r="J127" s="527"/>
      <c r="K127" s="17"/>
      <c r="M127" s="527"/>
      <c r="N127" s="527"/>
      <c r="O127" s="18"/>
      <c r="P127" s="17"/>
    </row>
    <row r="128" spans="1:26" s="239" customFormat="1" ht="14.15" customHeight="1">
      <c r="A128" s="17"/>
      <c r="B128" s="233"/>
      <c r="C128" s="527" t="s">
        <v>128</v>
      </c>
      <c r="D128" s="21">
        <f>INDEX(Tragwerk!$B$27:$D$27,1,MATCH(Eingabe!$C$4,Tragwerk!$B$14:$D$14))</f>
        <v>84.446010528493645</v>
      </c>
      <c r="E128" s="19" t="s">
        <v>2</v>
      </c>
      <c r="F128" s="17"/>
      <c r="G128" s="527" t="s">
        <v>361</v>
      </c>
      <c r="H128" s="527"/>
      <c r="I128" s="527"/>
      <c r="J128" s="527"/>
      <c r="K128" s="17"/>
      <c r="M128" s="527"/>
      <c r="N128" s="527"/>
      <c r="O128" s="18"/>
      <c r="P128" s="17"/>
    </row>
    <row r="129" spans="1:16" s="239" customFormat="1" ht="13" customHeight="1">
      <c r="A129" s="17"/>
      <c r="B129" s="233"/>
      <c r="C129" s="234" t="s">
        <v>129</v>
      </c>
      <c r="D129" s="21">
        <f>INDEX(Tragwerk!$B$28:$D$28,1,MATCH(Eingabe!$C$4,Tragwerk!$B$14:$D$14))</f>
        <v>420</v>
      </c>
      <c r="E129" s="19" t="s">
        <v>0</v>
      </c>
      <c r="F129" s="17"/>
      <c r="G129" s="527" t="s">
        <v>1559</v>
      </c>
      <c r="H129" s="527"/>
      <c r="I129" s="527"/>
      <c r="J129" s="527"/>
      <c r="K129" s="17"/>
      <c r="M129" s="527"/>
      <c r="N129" s="527"/>
      <c r="O129" s="18"/>
      <c r="P129" s="17"/>
    </row>
    <row r="130" spans="1:16" s="239" customFormat="1" ht="14.15" customHeight="1">
      <c r="A130" s="17"/>
      <c r="B130" s="233"/>
      <c r="C130" s="234" t="s">
        <v>130</v>
      </c>
      <c r="D130" s="20">
        <f>INDEX(Tragwerk!$B$29:$D$29,1,MATCH(Eingabe!$C$4,Tragwerk!$B$14:$D$14))</f>
        <v>176400</v>
      </c>
      <c r="E130" s="19" t="s">
        <v>16</v>
      </c>
      <c r="F130" s="17"/>
      <c r="G130" s="527" t="s">
        <v>1324</v>
      </c>
      <c r="H130" s="527"/>
      <c r="I130" s="527"/>
      <c r="J130" s="527"/>
      <c r="K130" s="17"/>
      <c r="M130" s="527"/>
      <c r="N130" s="527"/>
      <c r="O130" s="18"/>
      <c r="P130" s="17"/>
    </row>
    <row r="131" spans="1:16" s="239" customFormat="1" ht="13" customHeight="1">
      <c r="A131" s="17"/>
      <c r="B131" s="233"/>
      <c r="C131" s="234" t="s">
        <v>131</v>
      </c>
      <c r="D131" s="20">
        <f>INDEX(Tragwerk!$B$30:$D$30,1,MATCH(Eingabe!$C$4,Tragwerk!$B$14:$D$14))</f>
        <v>142800</v>
      </c>
      <c r="E131" s="19" t="s">
        <v>16</v>
      </c>
      <c r="F131" s="17"/>
      <c r="G131" s="527" t="s">
        <v>1324</v>
      </c>
      <c r="H131" s="527"/>
      <c r="I131" s="527"/>
      <c r="J131" s="527"/>
      <c r="K131" s="17"/>
      <c r="M131" s="527"/>
      <c r="N131" s="527"/>
      <c r="O131" s="18"/>
      <c r="P131" s="17"/>
    </row>
    <row r="132" spans="1:16" s="239" customFormat="1" ht="13" customHeight="1">
      <c r="A132" s="17"/>
      <c r="B132" s="233"/>
      <c r="C132" s="234" t="s">
        <v>133</v>
      </c>
      <c r="D132" s="18">
        <f>INDEX(Tragwerk!$B$31:$D$31,1,MATCH(Eingabe!$C$4,Tragwerk!$B$14:$D$14))</f>
        <v>1</v>
      </c>
      <c r="E132" s="19" t="s">
        <v>7</v>
      </c>
      <c r="F132" s="17"/>
      <c r="G132" s="527" t="s">
        <v>1324</v>
      </c>
      <c r="H132" s="527"/>
      <c r="I132" s="527"/>
      <c r="J132" s="527"/>
      <c r="K132" s="17"/>
      <c r="M132" s="527"/>
      <c r="N132" s="527"/>
      <c r="O132" s="18"/>
      <c r="P132" s="17"/>
    </row>
    <row r="133" spans="1:16" s="239" customFormat="1" ht="13" customHeight="1">
      <c r="A133" s="17"/>
      <c r="B133" s="233"/>
      <c r="C133" s="234" t="s">
        <v>104</v>
      </c>
      <c r="D133" s="18">
        <f>INDEX(Tragwerk!$B$32:$D$32,1,MATCH(Eingabe!$C$4,Tragwerk!$B$14:$D$14))</f>
        <v>1</v>
      </c>
      <c r="E133" s="19" t="s">
        <v>7</v>
      </c>
      <c r="F133" s="17"/>
      <c r="G133" s="527" t="s">
        <v>1324</v>
      </c>
      <c r="H133" s="527"/>
      <c r="I133" s="527"/>
      <c r="J133" s="527"/>
      <c r="K133" s="17"/>
      <c r="M133" s="527"/>
      <c r="N133" s="527"/>
      <c r="O133" s="18"/>
      <c r="P133" s="17"/>
    </row>
    <row r="134" spans="1:16" s="239" customFormat="1" ht="13" customHeight="1">
      <c r="A134" s="17"/>
      <c r="B134" s="233"/>
      <c r="C134" s="234" t="s">
        <v>110</v>
      </c>
      <c r="D134" s="19">
        <f>INDEX(Tragwerk!$B$33:$D$33,1,MATCH(Eingabe!$C$4,Tragwerk!$B$14:$D$14))</f>
        <v>1.04</v>
      </c>
      <c r="E134" s="19" t="s">
        <v>7</v>
      </c>
      <c r="F134" s="17"/>
      <c r="G134" s="527" t="s">
        <v>360</v>
      </c>
      <c r="H134" s="527"/>
      <c r="I134" s="527"/>
      <c r="J134" s="527"/>
      <c r="K134" s="17"/>
      <c r="M134" s="527"/>
      <c r="N134" s="527"/>
      <c r="O134" s="18"/>
      <c r="P134" s="17"/>
    </row>
    <row r="135" spans="1:16" s="239" customFormat="1" ht="13" customHeight="1">
      <c r="A135" s="17"/>
      <c r="B135" s="233"/>
      <c r="C135" s="234" t="s">
        <v>111</v>
      </c>
      <c r="D135" s="19">
        <f>INDEX(Tragwerk!$B$34:$D$34,1,MATCH(Eingabe!$C$4,Tragwerk!$B$14:$D$14))</f>
        <v>1.07</v>
      </c>
      <c r="E135" s="19" t="s">
        <v>7</v>
      </c>
      <c r="F135" s="17"/>
      <c r="G135" s="527" t="s">
        <v>360</v>
      </c>
      <c r="H135" s="527"/>
      <c r="I135" s="527"/>
      <c r="J135" s="527"/>
      <c r="K135" s="17"/>
      <c r="M135" s="527"/>
      <c r="N135" s="527"/>
      <c r="O135" s="18"/>
      <c r="P135" s="17"/>
    </row>
    <row r="136" spans="1:16" s="239" customFormat="1" ht="13" customHeight="1">
      <c r="A136" s="17"/>
      <c r="B136" s="233"/>
      <c r="C136" s="234" t="s">
        <v>112</v>
      </c>
      <c r="D136" s="19">
        <f>INDEX(Tragwerk!$B$35:$D$35,1,MATCH(Eingabe!$C$4,Tragwerk!$B$14:$D$14))</f>
        <v>1.0900000000000001</v>
      </c>
      <c r="E136" s="19" t="s">
        <v>7</v>
      </c>
      <c r="F136" s="17"/>
      <c r="G136" s="527" t="s">
        <v>360</v>
      </c>
      <c r="H136" s="527"/>
      <c r="I136" s="527"/>
      <c r="J136" s="527"/>
      <c r="K136" s="17"/>
      <c r="M136" s="527"/>
      <c r="N136" s="527"/>
      <c r="O136" s="18"/>
      <c r="P136" s="17"/>
    </row>
    <row r="137" spans="1:16" s="239" customFormat="1" ht="13" customHeight="1">
      <c r="A137" s="17"/>
      <c r="B137" s="233"/>
      <c r="C137" s="234" t="s">
        <v>108</v>
      </c>
      <c r="D137" s="21">
        <f>Tragwerk!$B$38</f>
        <v>1.2</v>
      </c>
      <c r="E137" s="19" t="s">
        <v>7</v>
      </c>
      <c r="F137" s="17"/>
      <c r="G137" s="274" t="s">
        <v>1324</v>
      </c>
      <c r="H137" s="527"/>
      <c r="I137" s="527"/>
      <c r="J137" s="527"/>
      <c r="K137" s="17"/>
      <c r="M137" s="527"/>
      <c r="N137" s="527"/>
      <c r="O137" s="18"/>
      <c r="P137" s="17"/>
    </row>
    <row r="138" spans="1:16" s="239" customFormat="1" ht="13" customHeight="1">
      <c r="A138" s="17"/>
      <c r="B138" s="233"/>
      <c r="C138" s="234" t="s">
        <v>123</v>
      </c>
      <c r="D138" s="21">
        <f>INDEX(Tragwerk!B39:D39,1,MATCH(Eingabe!C4,Tragwerk!B14:D14))</f>
        <v>59.246248656498729</v>
      </c>
      <c r="E138" s="19" t="s">
        <v>2</v>
      </c>
      <c r="F138" s="17"/>
      <c r="G138" s="527" t="s">
        <v>73</v>
      </c>
      <c r="H138" s="527"/>
      <c r="I138" s="527"/>
      <c r="J138" s="527"/>
      <c r="K138" s="17"/>
      <c r="M138" s="527"/>
      <c r="N138" s="527"/>
      <c r="O138" s="18"/>
      <c r="P138" s="17"/>
    </row>
    <row r="139" spans="1:16" s="239" customFormat="1" ht="13" customHeight="1">
      <c r="A139" s="17"/>
      <c r="B139" s="233"/>
      <c r="C139" s="527" t="s">
        <v>302</v>
      </c>
      <c r="D139" s="21">
        <f>Tragwerk!$B$60</f>
        <v>4.2779482683033754</v>
      </c>
      <c r="E139" s="19" t="s">
        <v>2</v>
      </c>
      <c r="F139" s="17"/>
      <c r="G139" s="527" t="s">
        <v>75</v>
      </c>
      <c r="H139" s="527"/>
      <c r="I139" s="527"/>
      <c r="J139" s="527"/>
      <c r="K139" s="17"/>
      <c r="M139" s="527"/>
      <c r="N139" s="527"/>
      <c r="O139" s="18"/>
      <c r="P139" s="17"/>
    </row>
    <row r="140" spans="1:16" s="239" customFormat="1" ht="13" customHeight="1">
      <c r="A140" s="17"/>
      <c r="B140" s="233"/>
      <c r="C140" s="25" t="s">
        <v>122</v>
      </c>
      <c r="D140" s="26">
        <f>D139/D138</f>
        <v>7.2206230188620171E-2</v>
      </c>
      <c r="E140" s="520" t="s">
        <v>7</v>
      </c>
      <c r="F140" s="27"/>
      <c r="G140" s="24" t="s">
        <v>46</v>
      </c>
      <c r="H140" s="527"/>
      <c r="I140" s="527"/>
      <c r="J140" s="527"/>
      <c r="K140" s="17"/>
      <c r="M140" s="527"/>
      <c r="N140" s="527"/>
      <c r="O140" s="18"/>
      <c r="P140" s="17"/>
    </row>
    <row r="141" spans="1:16" s="239" customFormat="1" ht="5.9" customHeight="1">
      <c r="A141" s="4"/>
      <c r="B141" s="240"/>
      <c r="C141" s="240"/>
      <c r="D141" s="240"/>
      <c r="E141" s="240"/>
      <c r="F141" s="240"/>
      <c r="G141" s="240"/>
      <c r="H141" s="240"/>
      <c r="I141" s="240"/>
      <c r="J141" s="240"/>
      <c r="K141" s="4"/>
    </row>
    <row r="142" spans="1:16" s="239" customFormat="1" ht="13" customHeight="1">
      <c r="A142" s="17"/>
      <c r="B142" s="233" t="s">
        <v>8</v>
      </c>
      <c r="C142" s="19"/>
      <c r="D142" s="19"/>
      <c r="E142" s="17"/>
      <c r="F142" s="17"/>
      <c r="G142" s="527"/>
      <c r="H142" s="527"/>
      <c r="I142" s="527"/>
      <c r="J142" s="527"/>
      <c r="K142" s="17"/>
      <c r="M142" s="527"/>
      <c r="N142" s="527"/>
      <c r="O142" s="18"/>
      <c r="P142" s="17"/>
    </row>
    <row r="143" spans="1:16" s="239" customFormat="1" ht="14.15" customHeight="1">
      <c r="A143" s="17"/>
      <c r="B143" s="17"/>
      <c r="C143" s="527" t="s">
        <v>78</v>
      </c>
      <c r="D143" s="21">
        <f>INDEX(Tragwerk!B41:D41,1,MATCH(Eingabe!$C$4,Tragwerk!$B$14:$D$14))</f>
        <v>80.007519646593167</v>
      </c>
      <c r="E143" s="19" t="s">
        <v>2</v>
      </c>
      <c r="F143" s="17"/>
      <c r="G143" s="527" t="s">
        <v>1324</v>
      </c>
      <c r="H143" s="527"/>
      <c r="I143" s="527"/>
      <c r="J143" s="527"/>
      <c r="K143" s="17"/>
      <c r="M143" s="527"/>
      <c r="N143" s="527"/>
      <c r="O143" s="18"/>
      <c r="P143" s="17"/>
    </row>
    <row r="144" spans="1:16" s="239" customFormat="1" ht="14.15" customHeight="1">
      <c r="A144" s="17"/>
      <c r="B144" s="17"/>
      <c r="C144" s="527" t="s">
        <v>79</v>
      </c>
      <c r="D144" s="19">
        <f>INDEX(Tragwerk!B42:D42,1,MATCH(Eingabe!$C$4,Tragwerk!$B$14:$D$14))</f>
        <v>176400</v>
      </c>
      <c r="E144" s="19" t="s">
        <v>16</v>
      </c>
      <c r="F144" s="17"/>
      <c r="G144" s="527" t="s">
        <v>1324</v>
      </c>
      <c r="H144" s="527"/>
      <c r="I144" s="527"/>
      <c r="J144" s="527"/>
      <c r="K144" s="17"/>
      <c r="M144" s="527"/>
      <c r="N144" s="527"/>
      <c r="O144" s="18"/>
      <c r="P144" s="17"/>
    </row>
    <row r="145" spans="1:16" s="239" customFormat="1" ht="13" customHeight="1">
      <c r="A145" s="17"/>
      <c r="B145" s="17"/>
      <c r="C145" s="527" t="s">
        <v>80</v>
      </c>
      <c r="D145" s="19">
        <f>INDEX(Tragwerk!B43:D43,1,MATCH(Eingabe!$C$4,Tragwerk!$B$14:$D$14))</f>
        <v>142800</v>
      </c>
      <c r="E145" s="19" t="s">
        <v>16</v>
      </c>
      <c r="F145" s="17"/>
      <c r="G145" s="527" t="s">
        <v>1324</v>
      </c>
      <c r="H145" s="527"/>
      <c r="I145" s="527"/>
      <c r="J145" s="527"/>
      <c r="K145" s="17"/>
      <c r="M145" s="527"/>
      <c r="N145" s="527"/>
      <c r="O145" s="18"/>
      <c r="P145" s="17"/>
    </row>
    <row r="146" spans="1:16" s="239" customFormat="1" ht="13" customHeight="1">
      <c r="A146" s="17"/>
      <c r="B146" s="17"/>
      <c r="C146" s="23" t="s">
        <v>81</v>
      </c>
      <c r="D146" s="21">
        <f>INDEX(Tragwerk!B44:D44,1,MATCH(Eingabe!$C$4,Tragwerk!$B$14:$D$14))</f>
        <v>1</v>
      </c>
      <c r="E146" s="19" t="s">
        <v>7</v>
      </c>
      <c r="F146" s="17"/>
      <c r="G146" s="527" t="s">
        <v>1324</v>
      </c>
      <c r="H146" s="527"/>
      <c r="I146" s="527"/>
      <c r="J146" s="527"/>
      <c r="K146" s="17"/>
      <c r="M146" s="527"/>
      <c r="N146" s="527"/>
      <c r="O146" s="18"/>
      <c r="P146" s="17"/>
    </row>
    <row r="147" spans="1:16" s="239" customFormat="1" ht="13" customHeight="1">
      <c r="A147" s="17"/>
      <c r="B147" s="17"/>
      <c r="C147" s="23" t="s">
        <v>82</v>
      </c>
      <c r="D147" s="21">
        <f>INDEX(Tragwerk!B45:D45,1,MATCH(Eingabe!$C$4,Tragwerk!$B$14:$D$14))</f>
        <v>1</v>
      </c>
      <c r="E147" s="19" t="s">
        <v>7</v>
      </c>
      <c r="F147" s="17"/>
      <c r="G147" s="527" t="s">
        <v>1324</v>
      </c>
      <c r="H147" s="527"/>
      <c r="I147" s="527"/>
      <c r="J147" s="527"/>
      <c r="K147" s="17"/>
      <c r="M147" s="527"/>
      <c r="N147" s="527"/>
      <c r="O147" s="18"/>
      <c r="P147" s="17"/>
    </row>
    <row r="148" spans="1:16" s="239" customFormat="1" ht="13" customHeight="1">
      <c r="A148" s="17"/>
      <c r="B148" s="17"/>
      <c r="C148" s="23" t="s">
        <v>83</v>
      </c>
      <c r="D148" s="21">
        <f>INDEX(Tragwerk!B46:D46,1,MATCH(Eingabe!$C$4,Tragwerk!$B$14:$D$14))</f>
        <v>1</v>
      </c>
      <c r="E148" s="19" t="s">
        <v>7</v>
      </c>
      <c r="F148" s="17"/>
      <c r="G148" s="527" t="s">
        <v>1324</v>
      </c>
      <c r="H148" s="527"/>
      <c r="I148" s="527"/>
      <c r="J148" s="527"/>
      <c r="K148" s="17"/>
      <c r="M148" s="527"/>
      <c r="N148" s="527"/>
      <c r="O148" s="18"/>
      <c r="P148" s="17"/>
    </row>
    <row r="149" spans="1:16" s="239" customFormat="1" ht="13" customHeight="1">
      <c r="A149" s="17"/>
      <c r="B149" s="17"/>
      <c r="C149" s="527" t="s">
        <v>77</v>
      </c>
      <c r="D149" s="21">
        <f>INDEX(Tragwerk!B48:D48,1,MATCH(Eingabe!$C$4,Tragwerk!$B$14:$D$14))</f>
        <v>64.767992094861128</v>
      </c>
      <c r="E149" s="19" t="s">
        <v>2</v>
      </c>
      <c r="F149" s="17"/>
      <c r="G149" s="527" t="s">
        <v>1324</v>
      </c>
      <c r="H149" s="527"/>
      <c r="I149" s="527"/>
      <c r="J149" s="527"/>
      <c r="K149" s="17"/>
      <c r="M149" s="526"/>
      <c r="N149" s="274"/>
      <c r="O149" s="18"/>
      <c r="P149" s="217"/>
    </row>
    <row r="150" spans="1:16" s="239" customFormat="1" ht="13" customHeight="1">
      <c r="A150" s="17"/>
      <c r="B150" s="17"/>
      <c r="C150" s="17" t="s">
        <v>12</v>
      </c>
      <c r="D150" s="21">
        <f>Tragwerk!$B$49</f>
        <v>1.2</v>
      </c>
      <c r="E150" s="19" t="s">
        <v>7</v>
      </c>
      <c r="F150" s="17"/>
      <c r="G150" s="527" t="s">
        <v>1324</v>
      </c>
      <c r="H150" s="527"/>
      <c r="I150" s="527"/>
      <c r="J150" s="527"/>
      <c r="K150" s="17"/>
      <c r="M150" s="526"/>
      <c r="N150" s="274"/>
      <c r="O150" s="18"/>
      <c r="P150" s="217"/>
    </row>
    <row r="151" spans="1:16" s="239" customFormat="1" ht="13" customHeight="1">
      <c r="A151" s="17"/>
      <c r="B151" s="17"/>
      <c r="C151" s="527" t="s">
        <v>71</v>
      </c>
      <c r="D151" s="21">
        <f>Eingabe!D45</f>
        <v>53.973326745717607</v>
      </c>
      <c r="E151" s="19" t="s">
        <v>2</v>
      </c>
      <c r="F151" s="17"/>
      <c r="G151" s="527" t="s">
        <v>73</v>
      </c>
      <c r="H151" s="527"/>
      <c r="I151" s="527"/>
      <c r="J151" s="527"/>
      <c r="K151" s="17"/>
      <c r="M151" s="526"/>
      <c r="N151" s="274"/>
      <c r="O151" s="18"/>
      <c r="P151" s="217"/>
    </row>
    <row r="152" spans="1:16" s="239" customFormat="1" ht="13" customHeight="1">
      <c r="A152" s="17"/>
      <c r="B152" s="17"/>
      <c r="C152" s="527" t="s">
        <v>302</v>
      </c>
      <c r="D152" s="21">
        <f>Tragwerk!$B$60</f>
        <v>4.2779482683033754</v>
      </c>
      <c r="E152" s="19" t="s">
        <v>2</v>
      </c>
      <c r="F152" s="17"/>
      <c r="G152" s="527" t="s">
        <v>75</v>
      </c>
      <c r="H152" s="527"/>
      <c r="I152" s="527"/>
      <c r="J152" s="527"/>
      <c r="K152" s="17"/>
      <c r="M152" s="526"/>
      <c r="N152" s="274"/>
      <c r="O152" s="18"/>
      <c r="P152" s="217"/>
    </row>
    <row r="153" spans="1:16" s="239" customFormat="1" ht="13" customHeight="1">
      <c r="A153" s="17"/>
      <c r="B153" s="17"/>
      <c r="C153" s="25" t="s">
        <v>89</v>
      </c>
      <c r="D153" s="26">
        <f>D152/D151</f>
        <v>7.9260414842648175E-2</v>
      </c>
      <c r="E153" s="520" t="s">
        <v>7</v>
      </c>
      <c r="F153" s="27"/>
      <c r="G153" s="24" t="s">
        <v>46</v>
      </c>
      <c r="H153" s="527"/>
      <c r="I153" s="527"/>
      <c r="J153" s="527"/>
      <c r="K153" s="17"/>
      <c r="M153" s="527"/>
      <c r="N153" s="527"/>
      <c r="O153" s="18"/>
      <c r="P153" s="17"/>
    </row>
    <row r="154" spans="1:16" s="239" customFormat="1" ht="5.9" customHeight="1">
      <c r="A154" s="4"/>
      <c r="B154" s="240"/>
      <c r="C154" s="240"/>
      <c r="D154" s="240"/>
      <c r="E154" s="240"/>
      <c r="F154" s="240"/>
      <c r="G154" s="240"/>
      <c r="H154" s="240"/>
      <c r="I154" s="240"/>
      <c r="J154" s="240"/>
      <c r="K154" s="4"/>
    </row>
    <row r="155" spans="1:16" s="239" customFormat="1" ht="13" customHeight="1">
      <c r="A155" s="1032" t="s">
        <v>513</v>
      </c>
      <c r="B155" s="1032"/>
      <c r="C155" s="1032"/>
      <c r="D155" s="1032"/>
      <c r="E155" s="1032"/>
      <c r="F155" s="1032"/>
      <c r="G155" s="1032"/>
      <c r="H155" s="1032"/>
      <c r="I155" s="1032"/>
      <c r="J155" s="1032"/>
      <c r="K155" s="520"/>
      <c r="M155" s="527"/>
      <c r="N155" s="527"/>
      <c r="O155" s="18"/>
      <c r="P155" s="17"/>
    </row>
    <row r="156" spans="1:16" s="239" customFormat="1" ht="13" customHeight="1">
      <c r="A156" s="527"/>
      <c r="B156" s="235" t="s">
        <v>120</v>
      </c>
      <c r="C156" s="236"/>
      <c r="D156" s="527"/>
      <c r="E156" s="527"/>
      <c r="F156" s="527"/>
      <c r="G156" s="527"/>
      <c r="H156" s="527"/>
      <c r="I156" s="527"/>
      <c r="J156" s="527"/>
      <c r="K156" s="527"/>
      <c r="M156" s="527"/>
      <c r="N156" s="527"/>
      <c r="O156" s="18"/>
      <c r="P156" s="17"/>
    </row>
    <row r="157" spans="1:16" s="239" customFormat="1" ht="13" customHeight="1">
      <c r="A157" s="527"/>
      <c r="B157" s="17"/>
      <c r="C157" s="527" t="s">
        <v>118</v>
      </c>
      <c r="D157" s="21">
        <f>INDEX(Tragwerk!B65:D65,1,MATCH(Eingabe!$C$4,Tragwerk!$B$14:$D$14))</f>
        <v>760.54326346673008</v>
      </c>
      <c r="E157" s="19" t="s">
        <v>119</v>
      </c>
      <c r="F157" s="17"/>
      <c r="G157" s="527" t="s">
        <v>362</v>
      </c>
      <c r="H157" s="527"/>
      <c r="I157" s="527"/>
      <c r="J157" s="527"/>
      <c r="K157" s="527"/>
      <c r="M157" s="527"/>
      <c r="N157" s="527"/>
      <c r="O157" s="18"/>
      <c r="P157" s="17"/>
    </row>
    <row r="158" spans="1:16" s="239" customFormat="1" ht="13" customHeight="1">
      <c r="A158" s="527"/>
      <c r="B158" s="17"/>
      <c r="C158" s="17" t="s">
        <v>3</v>
      </c>
      <c r="D158" s="21">
        <f>Tragwerk!$B$66</f>
        <v>1.56</v>
      </c>
      <c r="E158" s="19" t="s">
        <v>7</v>
      </c>
      <c r="F158" s="17"/>
      <c r="G158" s="527" t="s">
        <v>359</v>
      </c>
      <c r="H158" s="527"/>
      <c r="I158" s="527"/>
      <c r="J158" s="527"/>
      <c r="K158" s="527"/>
      <c r="M158" s="527"/>
      <c r="N158" s="527"/>
      <c r="O158" s="18"/>
      <c r="P158" s="17"/>
    </row>
    <row r="159" spans="1:16" s="239" customFormat="1" ht="13" customHeight="1">
      <c r="A159" s="527"/>
      <c r="B159" s="17"/>
      <c r="C159" s="527" t="s">
        <v>65</v>
      </c>
      <c r="D159" s="21">
        <f>INDEX(Tragwerk!B67:D67,1,MATCH(Eingabe!$C$4,Tragwerk!$B$14:$D$14))</f>
        <v>30.470483311968351</v>
      </c>
      <c r="E159" s="19" t="s">
        <v>2</v>
      </c>
      <c r="F159" s="17"/>
      <c r="G159" s="527" t="s">
        <v>73</v>
      </c>
      <c r="H159" s="527"/>
      <c r="I159" s="527"/>
      <c r="J159" s="527"/>
      <c r="K159" s="527"/>
      <c r="M159" s="527"/>
      <c r="N159" s="527"/>
      <c r="O159" s="18"/>
      <c r="P159" s="17"/>
    </row>
    <row r="160" spans="1:16" s="239" customFormat="1" ht="13" customHeight="1">
      <c r="A160" s="527"/>
      <c r="B160" s="17"/>
      <c r="C160" s="527" t="s">
        <v>303</v>
      </c>
      <c r="D160" s="21">
        <f>Tragwerk!$B$68</f>
        <v>27.194109375</v>
      </c>
      <c r="E160" s="19" t="s">
        <v>2</v>
      </c>
      <c r="F160" s="17"/>
      <c r="G160" s="527" t="s">
        <v>75</v>
      </c>
      <c r="H160" s="527"/>
      <c r="I160" s="527"/>
      <c r="J160" s="527"/>
      <c r="K160" s="527"/>
      <c r="M160" s="527"/>
      <c r="N160" s="527"/>
      <c r="O160" s="18"/>
      <c r="P160" s="17"/>
    </row>
    <row r="161" spans="1:16" s="239" customFormat="1" ht="13" customHeight="1">
      <c r="A161" s="527"/>
      <c r="B161" s="17"/>
      <c r="C161" s="25" t="s">
        <v>90</v>
      </c>
      <c r="D161" s="26">
        <f>D160/D159</f>
        <v>0.8924738441650697</v>
      </c>
      <c r="E161" s="520" t="s">
        <v>7</v>
      </c>
      <c r="F161" s="27"/>
      <c r="G161" s="24" t="s">
        <v>46</v>
      </c>
      <c r="H161" s="527"/>
      <c r="I161" s="527"/>
      <c r="J161" s="527"/>
      <c r="K161" s="527"/>
      <c r="M161" s="527"/>
      <c r="N161" s="527"/>
      <c r="O161" s="18"/>
      <c r="P161" s="17"/>
    </row>
    <row r="162" spans="1:16" s="239" customFormat="1" ht="5.9" customHeight="1">
      <c r="A162" s="4"/>
      <c r="B162" s="240"/>
      <c r="C162" s="240"/>
      <c r="D162" s="240"/>
      <c r="E162" s="240"/>
      <c r="F162" s="240"/>
      <c r="G162" s="240"/>
      <c r="H162" s="240"/>
      <c r="I162" s="240"/>
      <c r="J162" s="240"/>
      <c r="K162" s="4"/>
    </row>
    <row r="163" spans="1:16" s="239" customFormat="1" ht="13" customHeight="1">
      <c r="A163" s="527"/>
      <c r="B163" s="238" t="s">
        <v>9</v>
      </c>
      <c r="C163" s="17"/>
      <c r="D163" s="17"/>
      <c r="E163" s="17"/>
      <c r="F163" s="527"/>
      <c r="G163" s="527"/>
      <c r="H163" s="527"/>
      <c r="I163" s="527"/>
      <c r="J163" s="527"/>
      <c r="K163" s="527"/>
      <c r="M163" s="527"/>
      <c r="N163" s="527"/>
      <c r="O163" s="18"/>
      <c r="P163" s="17"/>
    </row>
    <row r="164" spans="1:16" s="239" customFormat="1" ht="13" customHeight="1">
      <c r="A164" s="527"/>
      <c r="B164" s="17"/>
      <c r="C164" s="4" t="s">
        <v>10</v>
      </c>
      <c r="D164" s="18">
        <f>Tragwerk!$B$71</f>
        <v>2.5</v>
      </c>
      <c r="E164" s="19" t="s">
        <v>7</v>
      </c>
      <c r="F164" s="17"/>
      <c r="G164" s="17" t="s">
        <v>363</v>
      </c>
      <c r="H164" s="527"/>
      <c r="I164" s="527"/>
      <c r="J164" s="527"/>
      <c r="K164" s="527"/>
      <c r="N164" s="20"/>
      <c r="O164" s="17"/>
      <c r="P164" s="17"/>
    </row>
    <row r="165" spans="1:16" s="239" customFormat="1" ht="13" customHeight="1">
      <c r="A165" s="17"/>
      <c r="B165" s="17"/>
      <c r="C165" s="527" t="s">
        <v>18</v>
      </c>
      <c r="D165" s="21">
        <f>INDEX(Tragwerk!B72:D72,1,MATCH(Eingabe!$C$4,Tragwerk!$B$14:$D$14))</f>
        <v>161.91998023715283</v>
      </c>
      <c r="E165" s="237" t="s">
        <v>2</v>
      </c>
      <c r="F165" s="17"/>
      <c r="G165" s="527" t="s">
        <v>1324</v>
      </c>
      <c r="H165" s="14"/>
      <c r="I165" s="14"/>
      <c r="J165" s="14"/>
      <c r="K165" s="17"/>
    </row>
    <row r="166" spans="1:16" s="239" customFormat="1" ht="13" customHeight="1">
      <c r="A166" s="17"/>
      <c r="B166" s="17"/>
      <c r="C166" s="17" t="s">
        <v>12</v>
      </c>
      <c r="D166" s="21">
        <f>Tragwerk!$B$73</f>
        <v>1.2</v>
      </c>
      <c r="E166" s="19" t="s">
        <v>7</v>
      </c>
      <c r="F166" s="17"/>
      <c r="G166" s="527" t="s">
        <v>1324</v>
      </c>
      <c r="H166" s="527"/>
      <c r="I166" s="18"/>
      <c r="J166" s="17"/>
      <c r="K166" s="17"/>
    </row>
    <row r="167" spans="1:16" s="239" customFormat="1" ht="13" customHeight="1">
      <c r="A167" s="17"/>
      <c r="B167" s="17"/>
      <c r="C167" s="17" t="s">
        <v>72</v>
      </c>
      <c r="D167" s="21">
        <f>INDEX(Tragwerk!B74:D74,1,MATCH(Eingabe!$C$4,Tragwerk!$B$14:$D$14))</f>
        <v>134.93331686429403</v>
      </c>
      <c r="E167" s="19" t="s">
        <v>2</v>
      </c>
      <c r="F167" s="17"/>
      <c r="G167" s="527" t="s">
        <v>73</v>
      </c>
      <c r="H167" s="527"/>
      <c r="I167" s="18"/>
      <c r="J167" s="17"/>
      <c r="K167" s="17"/>
    </row>
    <row r="168" spans="1:16" s="239" customFormat="1" ht="13" customHeight="1">
      <c r="A168" s="17"/>
      <c r="B168" s="17"/>
      <c r="C168" s="527" t="s">
        <v>303</v>
      </c>
      <c r="D168" s="21">
        <f>Tragwerk!$B$91</f>
        <v>54.38821875</v>
      </c>
      <c r="E168" s="19" t="s">
        <v>2</v>
      </c>
      <c r="F168" s="17"/>
      <c r="G168" s="527" t="s">
        <v>75</v>
      </c>
      <c r="H168" s="527"/>
      <c r="I168" s="18"/>
      <c r="J168" s="17"/>
      <c r="K168" s="17"/>
    </row>
    <row r="169" spans="1:16" s="239" customFormat="1" ht="13" customHeight="1">
      <c r="A169" s="17"/>
      <c r="B169" s="17"/>
      <c r="C169" s="25" t="s">
        <v>91</v>
      </c>
      <c r="D169" s="26">
        <f>D168/D167</f>
        <v>0.40307479289714382</v>
      </c>
      <c r="E169" s="520" t="s">
        <v>7</v>
      </c>
      <c r="F169" s="27"/>
      <c r="G169" s="24" t="s">
        <v>46</v>
      </c>
      <c r="H169" s="527"/>
      <c r="I169" s="18"/>
      <c r="J169" s="17"/>
      <c r="K169" s="17"/>
    </row>
    <row r="170" spans="1:16" s="239" customFormat="1" ht="5.9" customHeight="1">
      <c r="A170" s="17"/>
      <c r="B170" s="17"/>
      <c r="C170" s="25"/>
      <c r="D170" s="26"/>
      <c r="E170" s="520"/>
      <c r="F170" s="27"/>
      <c r="G170" s="24"/>
      <c r="H170" s="527"/>
      <c r="I170" s="18"/>
      <c r="J170" s="17"/>
      <c r="K170" s="17"/>
    </row>
    <row r="171" spans="1:16" s="239" customFormat="1" ht="13" customHeight="1">
      <c r="A171" s="17"/>
      <c r="B171" s="238" t="s">
        <v>11</v>
      </c>
      <c r="C171" s="25"/>
      <c r="D171" s="26"/>
      <c r="E171" s="520"/>
      <c r="F171" s="27"/>
      <c r="G171" s="24"/>
      <c r="H171" s="527"/>
      <c r="I171" s="18"/>
      <c r="J171" s="17"/>
      <c r="K171" s="17"/>
    </row>
    <row r="172" spans="1:16" s="239" customFormat="1" ht="13" customHeight="1">
      <c r="A172" s="17"/>
      <c r="B172" s="17"/>
      <c r="C172" s="234" t="s">
        <v>21</v>
      </c>
      <c r="D172" s="450">
        <f>INDEX(Tragwerk!B76:D76,1,MATCH(Eingabe!$C$4,Tragwerk!$B$14:$D$14))</f>
        <v>3.4156502553198659E-2</v>
      </c>
      <c r="E172" s="19" t="s">
        <v>7</v>
      </c>
      <c r="F172" s="27"/>
      <c r="G172" s="527" t="s">
        <v>1324</v>
      </c>
      <c r="H172" s="527"/>
      <c r="I172" s="18"/>
      <c r="J172" s="17"/>
      <c r="K172" s="17"/>
    </row>
    <row r="173" spans="1:16" s="239" customFormat="1" ht="13" customHeight="1">
      <c r="A173" s="17"/>
      <c r="B173" s="17"/>
      <c r="C173" s="234" t="s">
        <v>134</v>
      </c>
      <c r="D173" s="450">
        <f>INDEX(Tragwerk!B77:D77,1,MATCH(Eingabe!$C$4,Tragwerk!$B$14:$D$14))</f>
        <v>4.573050519273264E-2</v>
      </c>
      <c r="E173" s="19" t="s">
        <v>7</v>
      </c>
      <c r="F173" s="27"/>
      <c r="G173" s="527" t="s">
        <v>1324</v>
      </c>
      <c r="H173" s="527"/>
      <c r="I173" s="18"/>
      <c r="J173" s="17"/>
      <c r="K173" s="17"/>
    </row>
    <row r="174" spans="1:16" s="239" customFormat="1" ht="14.15" customHeight="1">
      <c r="A174" s="17"/>
      <c r="B174" s="17"/>
      <c r="C174" s="234" t="s">
        <v>481</v>
      </c>
      <c r="D174" s="21">
        <f>INDEX(Tragwerk!B78:D78,1,MATCH(Eingabe!$C$4,Tragwerk!$B$14:$D$14))</f>
        <v>662.3899818033774</v>
      </c>
      <c r="E174" s="237" t="s">
        <v>2</v>
      </c>
      <c r="F174" s="27"/>
      <c r="G174" s="527" t="s">
        <v>1324</v>
      </c>
      <c r="H174" s="527"/>
      <c r="I174" s="18"/>
      <c r="J174" s="17"/>
      <c r="K174" s="17"/>
    </row>
    <row r="175" spans="1:16" s="239" customFormat="1" ht="14.15" customHeight="1">
      <c r="A175" s="17"/>
      <c r="B175" s="17"/>
      <c r="C175" s="234" t="s">
        <v>482</v>
      </c>
      <c r="D175" s="20">
        <f>INDEX(Tragwerk!B79:D79,1,MATCH(Eingabe!$C$4,Tragwerk!$B$14:$D$14))</f>
        <v>6480000</v>
      </c>
      <c r="E175" s="19" t="s">
        <v>16</v>
      </c>
      <c r="F175" s="27"/>
      <c r="G175" s="527" t="s">
        <v>1324</v>
      </c>
      <c r="H175" s="527"/>
      <c r="I175" s="18"/>
      <c r="J175" s="17"/>
      <c r="K175" s="17"/>
    </row>
    <row r="176" spans="1:16" s="239" customFormat="1" ht="13" customHeight="1">
      <c r="A176" s="17"/>
      <c r="B176" s="17"/>
      <c r="C176" s="234" t="s">
        <v>483</v>
      </c>
      <c r="D176" s="20">
        <f>INDEX(Tragwerk!B80:D80,1,MATCH(Eingabe!$C$4,Tragwerk!$B$14:$D$14))</f>
        <v>720000</v>
      </c>
      <c r="E176" s="19" t="s">
        <v>16</v>
      </c>
      <c r="F176" s="27"/>
      <c r="G176" s="527" t="s">
        <v>1324</v>
      </c>
      <c r="H176" s="527"/>
      <c r="I176" s="18"/>
      <c r="J176" s="17"/>
      <c r="K176" s="17"/>
    </row>
    <row r="177" spans="1:11" s="239" customFormat="1" ht="13" customHeight="1">
      <c r="A177" s="17"/>
      <c r="B177" s="17"/>
      <c r="C177" s="234" t="s">
        <v>485</v>
      </c>
      <c r="D177" s="21">
        <f>INDEX(Tragwerk!B82:D82,1,MATCH(Eingabe!$C$4,Tragwerk!$B$14:$D$14))</f>
        <v>3</v>
      </c>
      <c r="E177" s="19" t="s">
        <v>7</v>
      </c>
      <c r="F177" s="27"/>
      <c r="G177" s="527" t="s">
        <v>1324</v>
      </c>
      <c r="H177" s="527"/>
      <c r="I177" s="18"/>
      <c r="J177" s="17"/>
      <c r="K177" s="17"/>
    </row>
    <row r="178" spans="1:11" s="239" customFormat="1" ht="13" customHeight="1">
      <c r="A178" s="17"/>
      <c r="B178" s="17"/>
      <c r="C178" s="234" t="s">
        <v>488</v>
      </c>
      <c r="D178" s="21">
        <f>Tragwerk!B85</f>
        <v>1.2</v>
      </c>
      <c r="E178" s="19" t="s">
        <v>7</v>
      </c>
      <c r="F178" s="27"/>
      <c r="G178" s="527" t="s">
        <v>1324</v>
      </c>
      <c r="H178" s="527"/>
      <c r="I178" s="18"/>
      <c r="J178" s="17"/>
      <c r="K178" s="17"/>
    </row>
    <row r="179" spans="1:11" s="239" customFormat="1" ht="13" customHeight="1">
      <c r="A179" s="17"/>
      <c r="B179" s="17"/>
      <c r="C179" s="234" t="s">
        <v>489</v>
      </c>
      <c r="D179" s="21">
        <f>INDEX(Tragwerk!B86:D86,1,MATCH(Eingabe!$C$4,Tragwerk!$B$14:$D$14))</f>
        <v>264.95599272135092</v>
      </c>
      <c r="E179" s="237" t="s">
        <v>2</v>
      </c>
      <c r="F179" s="27"/>
      <c r="G179" s="527" t="s">
        <v>1324</v>
      </c>
      <c r="H179" s="527"/>
      <c r="I179" s="18"/>
      <c r="J179" s="17"/>
      <c r="K179" s="17"/>
    </row>
    <row r="180" spans="1:11" s="239" customFormat="1" ht="13" customHeight="1">
      <c r="A180" s="17"/>
      <c r="B180" s="17"/>
      <c r="C180" s="234" t="s">
        <v>12</v>
      </c>
      <c r="D180" s="21">
        <f>Tragwerk!B87</f>
        <v>1.2</v>
      </c>
      <c r="E180" s="19" t="s">
        <v>7</v>
      </c>
      <c r="F180" s="27"/>
      <c r="G180" s="527" t="s">
        <v>1324</v>
      </c>
      <c r="H180" s="527"/>
      <c r="I180" s="18"/>
      <c r="J180" s="17"/>
      <c r="K180" s="17"/>
    </row>
    <row r="181" spans="1:11" s="239" customFormat="1" ht="13" customHeight="1">
      <c r="A181" s="17"/>
      <c r="B181" s="17"/>
      <c r="C181" s="234" t="s">
        <v>507</v>
      </c>
      <c r="D181" s="21">
        <f>INDEX(Tragwerk!B88:D88,1,MATCH(Eingabe!$C$4,Tragwerk!$B$14:$D$14))</f>
        <v>220.79666060112578</v>
      </c>
      <c r="E181" s="237" t="s">
        <v>2</v>
      </c>
      <c r="F181" s="27"/>
      <c r="G181" s="527" t="s">
        <v>73</v>
      </c>
      <c r="H181" s="527"/>
      <c r="I181" s="18"/>
      <c r="J181" s="17"/>
      <c r="K181" s="17"/>
    </row>
    <row r="182" spans="1:11" s="239" customFormat="1" ht="13" customHeight="1">
      <c r="A182" s="17"/>
      <c r="B182" s="17"/>
      <c r="C182" s="527" t="s">
        <v>303</v>
      </c>
      <c r="D182" s="21">
        <f>Tragwerk!B91</f>
        <v>54.38821875</v>
      </c>
      <c r="E182" s="237" t="s">
        <v>2</v>
      </c>
      <c r="F182" s="27"/>
      <c r="G182" s="527" t="s">
        <v>75</v>
      </c>
      <c r="H182" s="527"/>
      <c r="I182" s="18"/>
      <c r="J182" s="17"/>
      <c r="K182" s="17"/>
    </row>
    <row r="183" spans="1:11" s="239" customFormat="1" ht="13" customHeight="1">
      <c r="A183" s="17"/>
      <c r="B183" s="17"/>
      <c r="C183" s="25" t="s">
        <v>508</v>
      </c>
      <c r="D183" s="26">
        <f>D182/D181</f>
        <v>0.24632717995791414</v>
      </c>
      <c r="E183" s="520" t="s">
        <v>7</v>
      </c>
      <c r="F183" s="27"/>
      <c r="G183" s="24" t="s">
        <v>46</v>
      </c>
      <c r="H183" s="527"/>
      <c r="I183" s="18"/>
      <c r="J183" s="17"/>
      <c r="K183" s="17"/>
    </row>
    <row r="184" spans="1:11" s="239" customFormat="1" ht="5.9" customHeight="1">
      <c r="A184" s="4"/>
      <c r="B184" s="240"/>
      <c r="C184" s="240"/>
      <c r="D184" s="240"/>
      <c r="E184" s="240"/>
      <c r="F184" s="240"/>
      <c r="G184" s="240"/>
      <c r="H184" s="240"/>
      <c r="I184" s="240"/>
      <c r="J184" s="240"/>
      <c r="K184" s="4"/>
    </row>
    <row r="185" spans="1:11" s="239" customFormat="1" ht="13" customHeight="1">
      <c r="A185" s="1032" t="s">
        <v>521</v>
      </c>
      <c r="B185" s="1032"/>
      <c r="C185" s="1032"/>
      <c r="D185" s="1032"/>
      <c r="E185" s="1032"/>
      <c r="F185" s="1032"/>
      <c r="G185" s="1032"/>
      <c r="H185" s="1032"/>
      <c r="I185" s="1032"/>
      <c r="J185" s="1032"/>
      <c r="K185" s="520"/>
    </row>
    <row r="186" spans="1:11" s="239" customFormat="1" ht="5.9" customHeight="1">
      <c r="A186" s="17"/>
      <c r="B186" s="17"/>
      <c r="C186" s="23"/>
      <c r="D186" s="18"/>
      <c r="E186" s="19"/>
      <c r="F186" s="17"/>
      <c r="G186" s="527"/>
      <c r="H186" s="20"/>
      <c r="I186" s="17"/>
      <c r="J186" s="17"/>
      <c r="K186" s="17"/>
    </row>
    <row r="187" spans="1:11" s="239" customFormat="1" ht="13" customHeight="1">
      <c r="A187" s="17"/>
      <c r="B187" s="17"/>
      <c r="C187" s="23" t="s">
        <v>85</v>
      </c>
      <c r="D187" s="21">
        <f>INDEX(Tragwerk!B96:D96,1,MATCH(Eingabe!$C$4,Tragwerk!$B$14:$D$14))</f>
        <v>7.9260414842648175E-2</v>
      </c>
      <c r="E187" s="19" t="s">
        <v>7</v>
      </c>
      <c r="F187" s="17"/>
      <c r="G187" s="527" t="s">
        <v>515</v>
      </c>
      <c r="H187" s="20"/>
      <c r="I187" s="17"/>
      <c r="J187" s="17"/>
      <c r="K187" s="17"/>
    </row>
    <row r="188" spans="1:11" s="239" customFormat="1" ht="13" customHeight="1">
      <c r="A188" s="17"/>
      <c r="B188" s="17"/>
      <c r="C188" s="23" t="s">
        <v>87</v>
      </c>
      <c r="D188" s="21">
        <f>INDEX(Tragwerk!B97:D97,1,MATCH(Eingabe!$C$4,Tragwerk!$B$14:$D$14))</f>
        <v>0.8924738441650697</v>
      </c>
      <c r="E188" s="19" t="s">
        <v>7</v>
      </c>
      <c r="F188" s="17"/>
      <c r="G188" s="527" t="s">
        <v>519</v>
      </c>
      <c r="H188" s="20"/>
      <c r="I188" s="17"/>
      <c r="J188" s="17"/>
      <c r="K188" s="17"/>
    </row>
    <row r="189" spans="1:11" s="239" customFormat="1" ht="13" hidden="1" customHeight="1">
      <c r="A189" s="17"/>
      <c r="B189" s="17"/>
      <c r="C189" s="23"/>
      <c r="D189" s="18"/>
      <c r="E189" s="19"/>
      <c r="F189" s="17"/>
      <c r="G189" s="527"/>
      <c r="H189" s="20"/>
      <c r="I189" s="17"/>
      <c r="J189" s="17"/>
      <c r="K189" s="17"/>
    </row>
    <row r="190" spans="1:11" s="239" customFormat="1" ht="13" customHeight="1">
      <c r="A190" s="17"/>
      <c r="B190" s="17"/>
      <c r="C190" s="25" t="s">
        <v>548</v>
      </c>
      <c r="D190" s="26">
        <f>INDEX(Tragwerk!B99:D99,1,MATCH(Eingabe!$C$4,Tragwerk!$B$14:$D$14))</f>
        <v>0.80977854917309822</v>
      </c>
      <c r="E190" s="520" t="s">
        <v>7</v>
      </c>
      <c r="F190" s="27"/>
      <c r="G190" s="527" t="s">
        <v>1324</v>
      </c>
      <c r="H190" s="20"/>
      <c r="I190" s="17"/>
      <c r="J190" s="17"/>
      <c r="K190" s="17"/>
    </row>
    <row r="191" spans="1:11" s="239" customFormat="1" ht="5.9" customHeight="1">
      <c r="A191" s="17"/>
      <c r="B191" s="17"/>
      <c r="C191" s="23"/>
      <c r="D191" s="18"/>
      <c r="E191" s="19"/>
      <c r="F191" s="17"/>
      <c r="G191" s="527"/>
      <c r="H191" s="20"/>
      <c r="I191" s="17"/>
      <c r="J191" s="17"/>
      <c r="K191" s="17"/>
    </row>
    <row r="192" spans="1:11" s="239" customFormat="1" ht="14.15" customHeight="1">
      <c r="A192" s="1033" t="s">
        <v>304</v>
      </c>
      <c r="B192" s="1033"/>
      <c r="C192" s="1033"/>
      <c r="D192" s="1033"/>
      <c r="E192" s="1033"/>
      <c r="F192" s="1033"/>
      <c r="G192" s="1033"/>
      <c r="H192" s="1033"/>
      <c r="I192" s="1033"/>
      <c r="J192" s="1033"/>
      <c r="K192" s="502"/>
    </row>
    <row r="193" spans="1:11" s="239" customFormat="1" ht="6.8" customHeight="1">
      <c r="A193" s="4"/>
      <c r="B193" s="240"/>
      <c r="C193" s="240"/>
      <c r="D193" s="240"/>
      <c r="E193" s="240"/>
      <c r="F193" s="240"/>
      <c r="G193" s="240"/>
      <c r="H193" s="240"/>
      <c r="I193" s="240"/>
      <c r="J193" s="240"/>
      <c r="K193" s="4"/>
    </row>
    <row r="194" spans="1:11" s="239" customFormat="1" ht="11.25" customHeight="1">
      <c r="A194" s="1032" t="s">
        <v>514</v>
      </c>
      <c r="B194" s="1032"/>
      <c r="C194" s="1032"/>
      <c r="D194" s="1032"/>
      <c r="E194" s="1032"/>
      <c r="F194" s="1032"/>
      <c r="G194" s="1032"/>
      <c r="H194" s="1032"/>
      <c r="I194" s="1032"/>
      <c r="J194" s="1032"/>
      <c r="K194" s="520"/>
    </row>
    <row r="195" spans="1:11" s="239" customFormat="1" ht="13" customHeight="1">
      <c r="A195" s="17"/>
      <c r="B195" s="14" t="s">
        <v>1</v>
      </c>
      <c r="C195" s="232"/>
      <c r="D195" s="232"/>
      <c r="E195" s="232"/>
      <c r="F195" s="17"/>
      <c r="G195" s="527"/>
      <c r="H195" s="527"/>
      <c r="I195" s="527"/>
      <c r="J195" s="527"/>
      <c r="K195" s="17"/>
    </row>
    <row r="196" spans="1:11" s="239" customFormat="1" ht="13" customHeight="1">
      <c r="A196" s="17"/>
      <c r="B196" s="17"/>
      <c r="C196" s="527" t="s">
        <v>4</v>
      </c>
      <c r="D196" s="21">
        <f>INDEX(Kappe!B17:D17,1,MATCH(Eingabe!$C$4,Kappe!$B$12:$D$12))</f>
        <v>247</v>
      </c>
      <c r="E196" s="19" t="s">
        <v>2</v>
      </c>
      <c r="F196" s="17"/>
      <c r="G196" s="527" t="s">
        <v>1560</v>
      </c>
      <c r="H196" s="527"/>
      <c r="I196" s="527"/>
      <c r="J196" s="527"/>
      <c r="K196" s="17"/>
    </row>
    <row r="197" spans="1:11" s="239" customFormat="1" ht="13" customHeight="1">
      <c r="A197" s="17"/>
      <c r="B197" s="17"/>
      <c r="C197" s="17" t="s">
        <v>3</v>
      </c>
      <c r="D197" s="21">
        <f>Kappe!$B$18</f>
        <v>1.87</v>
      </c>
      <c r="E197" s="19" t="s">
        <v>7</v>
      </c>
      <c r="F197" s="17"/>
      <c r="G197" s="527" t="s">
        <v>359</v>
      </c>
      <c r="H197" s="527"/>
      <c r="I197" s="527"/>
      <c r="J197" s="527"/>
      <c r="K197" s="17"/>
    </row>
    <row r="198" spans="1:11" s="239" customFormat="1" ht="13" customHeight="1">
      <c r="A198" s="17"/>
      <c r="B198" s="17"/>
      <c r="C198" s="527" t="s">
        <v>64</v>
      </c>
      <c r="D198" s="21">
        <f>INDEX(Kappe!B19:D19,1,MATCH(Eingabe!$C$4,Kappe!$B$12:$D$12))</f>
        <v>132.08556149732618</v>
      </c>
      <c r="E198" s="19" t="s">
        <v>2</v>
      </c>
      <c r="F198" s="17"/>
      <c r="G198" s="527" t="s">
        <v>73</v>
      </c>
      <c r="H198" s="527"/>
      <c r="I198" s="527"/>
      <c r="J198" s="527"/>
      <c r="K198" s="17"/>
    </row>
    <row r="199" spans="1:11" s="239" customFormat="1" ht="13" customHeight="1">
      <c r="A199" s="17"/>
      <c r="B199" s="17"/>
      <c r="C199" s="527" t="s">
        <v>302</v>
      </c>
      <c r="D199" s="21">
        <f>Kappe!$B$53</f>
        <v>4.2779482683033754</v>
      </c>
      <c r="E199" s="19" t="s">
        <v>2</v>
      </c>
      <c r="F199" s="17"/>
      <c r="G199" s="527" t="s">
        <v>75</v>
      </c>
      <c r="H199" s="527"/>
      <c r="I199" s="527"/>
      <c r="J199" s="527"/>
      <c r="K199" s="17"/>
    </row>
    <row r="200" spans="1:11" s="239" customFormat="1" ht="13" customHeight="1">
      <c r="A200" s="17"/>
      <c r="B200" s="17"/>
      <c r="C200" s="25" t="s">
        <v>88</v>
      </c>
      <c r="D200" s="26">
        <f>D199/D198</f>
        <v>3.2387705513066044E-2</v>
      </c>
      <c r="E200" s="520" t="s">
        <v>7</v>
      </c>
      <c r="F200" s="27"/>
      <c r="G200" s="24" t="s">
        <v>46</v>
      </c>
      <c r="H200" s="527"/>
      <c r="I200" s="527"/>
      <c r="J200" s="527"/>
      <c r="K200" s="17"/>
    </row>
    <row r="201" spans="1:11" s="239" customFormat="1" ht="6.8" customHeight="1">
      <c r="A201" s="4"/>
      <c r="B201" s="240"/>
      <c r="C201" s="240"/>
      <c r="D201" s="240"/>
      <c r="E201" s="240"/>
      <c r="F201" s="240"/>
      <c r="G201" s="240"/>
      <c r="H201" s="240"/>
      <c r="I201" s="240"/>
      <c r="J201" s="240"/>
      <c r="K201" s="4"/>
    </row>
    <row r="202" spans="1:11" s="239" customFormat="1" ht="13" customHeight="1">
      <c r="A202" s="17"/>
      <c r="B202" s="233" t="s">
        <v>5</v>
      </c>
      <c r="C202" s="19"/>
      <c r="D202" s="19"/>
      <c r="E202" s="17"/>
      <c r="F202" s="17"/>
      <c r="G202" s="527"/>
      <c r="H202" s="527"/>
      <c r="I202" s="527"/>
      <c r="J202" s="527"/>
      <c r="K202" s="17"/>
    </row>
    <row r="203" spans="1:11" s="239" customFormat="1" ht="13" customHeight="1">
      <c r="A203" s="17"/>
      <c r="B203" s="233"/>
      <c r="C203" s="234" t="s">
        <v>115</v>
      </c>
      <c r="D203" s="18">
        <f>INDEX(Kappe!B21:D21,1,MATCH(Eingabe!$C$4,Kappe!$B$12:$D$12))</f>
        <v>565</v>
      </c>
      <c r="E203" s="19" t="s">
        <v>16</v>
      </c>
      <c r="F203" s="17"/>
      <c r="G203" s="527" t="s">
        <v>137</v>
      </c>
      <c r="H203" s="527"/>
      <c r="I203" s="527"/>
      <c r="J203" s="527"/>
      <c r="K203" s="17"/>
    </row>
    <row r="204" spans="1:11" s="239" customFormat="1" ht="13" customHeight="1">
      <c r="A204" s="17"/>
      <c r="B204" s="233"/>
      <c r="C204" s="666" t="s">
        <v>1152</v>
      </c>
      <c r="D204" s="669">
        <f>Eingabe!N3</f>
        <v>1</v>
      </c>
      <c r="E204" s="19" t="s">
        <v>7</v>
      </c>
      <c r="F204" s="17"/>
      <c r="G204" s="527" t="s">
        <v>1151</v>
      </c>
      <c r="H204" s="527"/>
      <c r="I204" s="527"/>
      <c r="J204" s="527"/>
      <c r="K204" s="17"/>
    </row>
    <row r="205" spans="1:11" s="239" customFormat="1" ht="13" customHeight="1">
      <c r="A205" s="17"/>
      <c r="B205" s="233"/>
      <c r="C205" s="234" t="s">
        <v>6</v>
      </c>
      <c r="D205" s="21">
        <f>INDEX(Kappe!B22:D22,1,MATCH(Eingabe!$C$4,Kappe!$B$12:$D$12))</f>
        <v>101.7</v>
      </c>
      <c r="E205" s="19" t="s">
        <v>2</v>
      </c>
      <c r="F205" s="17"/>
      <c r="G205" s="527" t="s">
        <v>1324</v>
      </c>
      <c r="H205" s="527"/>
      <c r="I205" s="527"/>
      <c r="J205" s="527"/>
      <c r="K205" s="17"/>
    </row>
    <row r="206" spans="1:11" s="239" customFormat="1" ht="13" customHeight="1">
      <c r="A206" s="17"/>
      <c r="B206" s="233"/>
      <c r="C206" s="234" t="s">
        <v>108</v>
      </c>
      <c r="D206" s="18">
        <f>Kappe!B23</f>
        <v>1.2</v>
      </c>
      <c r="E206" s="19" t="s">
        <v>7</v>
      </c>
      <c r="F206" s="17"/>
      <c r="G206" s="527" t="s">
        <v>1324</v>
      </c>
      <c r="H206" s="527"/>
      <c r="I206" s="527"/>
      <c r="J206" s="527"/>
      <c r="K206" s="17"/>
    </row>
    <row r="207" spans="1:11" s="239" customFormat="1" ht="13" customHeight="1">
      <c r="A207" s="17"/>
      <c r="B207" s="233"/>
      <c r="C207" s="234" t="s">
        <v>123</v>
      </c>
      <c r="D207" s="21">
        <f>INDEX(Kappe!B24:D24,1,MATCH(Eingabe!$C$4,Kappe!$B$12:$D$12))</f>
        <v>84.75</v>
      </c>
      <c r="E207" s="19" t="s">
        <v>2</v>
      </c>
      <c r="F207" s="17"/>
      <c r="G207" s="527" t="s">
        <v>73</v>
      </c>
      <c r="H207" s="527"/>
      <c r="I207" s="527"/>
      <c r="J207" s="527"/>
      <c r="K207" s="17"/>
    </row>
    <row r="208" spans="1:11" s="239" customFormat="1" ht="13" customHeight="1">
      <c r="A208" s="17"/>
      <c r="B208" s="233"/>
      <c r="C208" s="527" t="s">
        <v>302</v>
      </c>
      <c r="D208" s="21">
        <f>Kappe!$B$53</f>
        <v>4.2779482683033754</v>
      </c>
      <c r="E208" s="19" t="s">
        <v>2</v>
      </c>
      <c r="F208" s="17"/>
      <c r="G208" s="527" t="s">
        <v>75</v>
      </c>
      <c r="H208" s="527"/>
      <c r="I208" s="527"/>
      <c r="J208" s="527"/>
      <c r="K208" s="17"/>
    </row>
    <row r="209" spans="1:11" s="239" customFormat="1" ht="13" customHeight="1">
      <c r="A209" s="17"/>
      <c r="B209" s="17"/>
      <c r="C209" s="25" t="s">
        <v>122</v>
      </c>
      <c r="D209" s="26">
        <f>D208/D207</f>
        <v>5.0477265702694694E-2</v>
      </c>
      <c r="E209" s="520" t="s">
        <v>7</v>
      </c>
      <c r="F209" s="27"/>
      <c r="G209" s="24" t="s">
        <v>46</v>
      </c>
      <c r="H209" s="527"/>
      <c r="I209" s="527"/>
      <c r="J209" s="527"/>
      <c r="K209" s="17"/>
    </row>
    <row r="210" spans="1:11" s="239" customFormat="1" ht="6.8" customHeight="1">
      <c r="A210" s="4"/>
      <c r="B210" s="240"/>
      <c r="C210" s="240"/>
      <c r="D210" s="240"/>
      <c r="E210" s="240"/>
      <c r="F210" s="240"/>
      <c r="G210" s="240"/>
      <c r="H210" s="240"/>
      <c r="I210" s="240"/>
      <c r="J210" s="240"/>
      <c r="K210" s="4"/>
    </row>
    <row r="211" spans="1:11" s="239" customFormat="1" ht="14.25" customHeight="1">
      <c r="A211" s="17"/>
      <c r="B211" s="233" t="s">
        <v>8</v>
      </c>
      <c r="C211" s="19"/>
      <c r="D211" s="19"/>
      <c r="E211" s="17"/>
      <c r="F211" s="17"/>
      <c r="G211" s="527"/>
      <c r="H211" s="527"/>
      <c r="I211" s="527"/>
      <c r="J211" s="527"/>
      <c r="K211" s="17"/>
    </row>
    <row r="212" spans="1:11" s="239" customFormat="1" ht="14.25" customHeight="1">
      <c r="A212" s="17"/>
      <c r="B212" s="17"/>
      <c r="C212" s="527" t="s">
        <v>78</v>
      </c>
      <c r="D212" s="21">
        <f>INDEX(Kappe!B27:D27,1,MATCH(Eingabe!$C$4,Kappe!$B$12:$D$12))</f>
        <v>30.846077222233625</v>
      </c>
      <c r="E212" s="19" t="s">
        <v>2</v>
      </c>
      <c r="F212" s="17"/>
      <c r="G212" s="527" t="s">
        <v>1324</v>
      </c>
      <c r="H212" s="527"/>
      <c r="I212" s="527"/>
      <c r="J212" s="527"/>
      <c r="K212" s="17"/>
    </row>
    <row r="213" spans="1:11" s="239" customFormat="1" ht="14.25" customHeight="1">
      <c r="A213" s="17"/>
      <c r="B213" s="17"/>
      <c r="C213" s="527" t="s">
        <v>79</v>
      </c>
      <c r="D213" s="20">
        <f>INDEX(Kappe!B28:D28,1,MATCH(Eingabe!$C$4,Kappe!$B$12:$D$12))</f>
        <v>51984</v>
      </c>
      <c r="E213" s="19" t="s">
        <v>16</v>
      </c>
      <c r="F213" s="17"/>
      <c r="G213" s="527" t="s">
        <v>1324</v>
      </c>
      <c r="H213" s="527"/>
      <c r="I213" s="527"/>
      <c r="J213" s="527"/>
      <c r="K213" s="17"/>
    </row>
    <row r="214" spans="1:11" s="239" customFormat="1" ht="13" customHeight="1">
      <c r="A214" s="17"/>
      <c r="B214" s="17"/>
      <c r="C214" s="527" t="s">
        <v>80</v>
      </c>
      <c r="D214" s="20">
        <f>INDEX(Kappe!B29:D29,1,MATCH(Eingabe!$C$4,Kappe!$B$12:$D$12))</f>
        <v>69168</v>
      </c>
      <c r="E214" s="19" t="s">
        <v>16</v>
      </c>
      <c r="F214" s="17"/>
      <c r="G214" s="527" t="s">
        <v>1324</v>
      </c>
      <c r="H214" s="527"/>
      <c r="I214" s="527"/>
      <c r="J214" s="527"/>
      <c r="K214" s="17"/>
    </row>
    <row r="215" spans="1:11" s="239" customFormat="1" ht="13" customHeight="1">
      <c r="A215" s="17"/>
      <c r="B215" s="17"/>
      <c r="C215" s="527" t="s">
        <v>10</v>
      </c>
      <c r="D215" s="18">
        <f>Kappe!$B$26</f>
        <v>8.5</v>
      </c>
      <c r="E215" s="19" t="s">
        <v>7</v>
      </c>
      <c r="F215" s="17"/>
      <c r="G215" s="527" t="s">
        <v>1324</v>
      </c>
      <c r="H215" s="527"/>
      <c r="I215" s="527"/>
      <c r="J215" s="527"/>
      <c r="K215" s="17"/>
    </row>
    <row r="216" spans="1:11" s="239" customFormat="1" ht="13" customHeight="1">
      <c r="A216" s="17"/>
      <c r="B216" s="17"/>
      <c r="C216" s="23" t="s">
        <v>81</v>
      </c>
      <c r="D216" s="21">
        <f>INDEX(Kappe!B30:D30,1,MATCH(Eingabe!$C$4,Kappe!$B$12:$D$12))</f>
        <v>1</v>
      </c>
      <c r="E216" s="19" t="s">
        <v>7</v>
      </c>
      <c r="F216" s="17"/>
      <c r="G216" s="527" t="s">
        <v>1324</v>
      </c>
      <c r="H216" s="527"/>
      <c r="I216" s="527"/>
      <c r="J216" s="527"/>
      <c r="K216" s="17"/>
    </row>
    <row r="217" spans="1:11" s="239" customFormat="1" ht="13" customHeight="1">
      <c r="A217" s="17"/>
      <c r="B217" s="17"/>
      <c r="C217" s="23" t="s">
        <v>82</v>
      </c>
      <c r="D217" s="21">
        <f>INDEX(Kappe!B31:D31,1,MATCH(Eingabe!$C$4,Kappe!$B$12:$D$12))</f>
        <v>1</v>
      </c>
      <c r="E217" s="19" t="s">
        <v>7</v>
      </c>
      <c r="F217" s="17"/>
      <c r="G217" s="527" t="s">
        <v>1324</v>
      </c>
      <c r="H217" s="527"/>
      <c r="I217" s="527"/>
      <c r="J217" s="527"/>
      <c r="K217" s="17"/>
    </row>
    <row r="218" spans="1:11" s="239" customFormat="1" ht="13" customHeight="1">
      <c r="A218" s="17"/>
      <c r="B218" s="17"/>
      <c r="C218" s="23" t="s">
        <v>83</v>
      </c>
      <c r="D218" s="21">
        <f>INDEX(Kappe!B32:D32,1,MATCH(Eingabe!$C$4,Kappe!$B$12:$D$12))</f>
        <v>1</v>
      </c>
      <c r="E218" s="19" t="s">
        <v>7</v>
      </c>
      <c r="F218" s="17"/>
      <c r="G218" s="527" t="s">
        <v>1324</v>
      </c>
      <c r="H218" s="527"/>
      <c r="I218" s="527"/>
      <c r="J218" s="527"/>
      <c r="K218" s="17"/>
    </row>
    <row r="219" spans="1:11" s="239" customFormat="1" ht="13" customHeight="1">
      <c r="A219" s="17"/>
      <c r="B219" s="17"/>
      <c r="C219" s="23" t="s">
        <v>84</v>
      </c>
      <c r="D219" s="21">
        <f>INDEX(Kappe!B33:D33,1,MATCH(Eingabe!$C$4,Kappe!$B$12:$D$12))</f>
        <v>1</v>
      </c>
      <c r="E219" s="19" t="s">
        <v>7</v>
      </c>
      <c r="F219" s="17"/>
      <c r="G219" s="527" t="s">
        <v>1324</v>
      </c>
      <c r="H219" s="527"/>
      <c r="I219" s="527"/>
      <c r="J219" s="527"/>
      <c r="K219" s="17"/>
    </row>
    <row r="220" spans="1:11" s="239" customFormat="1" ht="13" customHeight="1">
      <c r="A220" s="17"/>
      <c r="B220" s="17"/>
      <c r="C220" s="666" t="s">
        <v>1152</v>
      </c>
      <c r="D220" s="669">
        <f>Eingabe!N3</f>
        <v>1</v>
      </c>
      <c r="E220" s="19" t="s">
        <v>7</v>
      </c>
      <c r="F220" s="17"/>
      <c r="G220" s="527" t="s">
        <v>1151</v>
      </c>
      <c r="H220" s="527"/>
      <c r="I220" s="527"/>
      <c r="J220" s="527"/>
      <c r="K220" s="17"/>
    </row>
    <row r="221" spans="1:11" s="239" customFormat="1" ht="13" customHeight="1">
      <c r="A221" s="17"/>
      <c r="B221" s="17"/>
      <c r="C221" s="527" t="s">
        <v>77</v>
      </c>
      <c r="D221" s="21">
        <f>INDEX(Kappe!B34:D34,1,MATCH(Eingabe!$C$4,Kappe!$B$12:$D$12))</f>
        <v>41.042656765686658</v>
      </c>
      <c r="E221" s="19" t="s">
        <v>2</v>
      </c>
      <c r="F221" s="17"/>
      <c r="G221" s="527" t="s">
        <v>1324</v>
      </c>
      <c r="H221" s="527"/>
      <c r="I221" s="527"/>
      <c r="J221" s="527"/>
      <c r="K221" s="17"/>
    </row>
    <row r="222" spans="1:11" s="239" customFormat="1" ht="13" customHeight="1">
      <c r="A222" s="17"/>
      <c r="B222" s="17"/>
      <c r="C222" s="17" t="s">
        <v>12</v>
      </c>
      <c r="D222" s="21">
        <f>Kappe!$B$35</f>
        <v>1.2</v>
      </c>
      <c r="E222" s="19" t="s">
        <v>7</v>
      </c>
      <c r="F222" s="17"/>
      <c r="G222" s="527" t="s">
        <v>1324</v>
      </c>
      <c r="H222" s="527"/>
      <c r="I222" s="527"/>
      <c r="J222" s="527"/>
      <c r="K222" s="17"/>
    </row>
    <row r="223" spans="1:11" s="239" customFormat="1" ht="13" customHeight="1">
      <c r="A223" s="17"/>
      <c r="B223" s="17"/>
      <c r="C223" s="527" t="s">
        <v>71</v>
      </c>
      <c r="D223" s="21">
        <f>INDEX(Kappe!B36:D36,1,MATCH(Eingabe!$C$4,Kappe!$B$12:$D$12))</f>
        <v>34.202213971405548</v>
      </c>
      <c r="E223" s="19" t="s">
        <v>2</v>
      </c>
      <c r="F223" s="17"/>
      <c r="G223" s="527" t="s">
        <v>73</v>
      </c>
      <c r="H223" s="527"/>
      <c r="I223" s="527"/>
      <c r="J223" s="527"/>
      <c r="K223" s="17"/>
    </row>
    <row r="224" spans="1:11" s="239" customFormat="1" ht="13" customHeight="1">
      <c r="A224" s="17"/>
      <c r="B224" s="17"/>
      <c r="C224" s="527" t="s">
        <v>302</v>
      </c>
      <c r="D224" s="21">
        <f>Kappe!$B$53</f>
        <v>4.2779482683033754</v>
      </c>
      <c r="E224" s="19" t="s">
        <v>2</v>
      </c>
      <c r="F224" s="17"/>
      <c r="G224" s="527" t="s">
        <v>75</v>
      </c>
      <c r="H224" s="527"/>
      <c r="I224" s="527"/>
      <c r="J224" s="527"/>
      <c r="K224" s="17"/>
    </row>
    <row r="225" spans="1:11" s="239" customFormat="1" ht="13" customHeight="1">
      <c r="A225" s="17"/>
      <c r="B225" s="17"/>
      <c r="C225" s="25" t="s">
        <v>89</v>
      </c>
      <c r="D225" s="26">
        <f>D224/D223</f>
        <v>0.12507810961828131</v>
      </c>
      <c r="E225" s="520" t="s">
        <v>7</v>
      </c>
      <c r="F225" s="27"/>
      <c r="G225" s="24" t="s">
        <v>46</v>
      </c>
      <c r="H225" s="527"/>
      <c r="I225" s="527"/>
      <c r="J225" s="527"/>
      <c r="K225" s="17"/>
    </row>
    <row r="226" spans="1:11" s="239" customFormat="1" ht="6.8" customHeight="1">
      <c r="A226" s="17"/>
      <c r="B226" s="17"/>
      <c r="C226" s="21"/>
      <c r="D226" s="19"/>
      <c r="E226" s="527"/>
      <c r="F226" s="17"/>
      <c r="G226" s="527"/>
      <c r="H226" s="527"/>
      <c r="I226" s="527"/>
      <c r="J226" s="527"/>
      <c r="K226" s="17"/>
    </row>
    <row r="227" spans="1:11" s="239" customFormat="1" ht="13" customHeight="1">
      <c r="A227" s="1032" t="s">
        <v>513</v>
      </c>
      <c r="B227" s="1032"/>
      <c r="C227" s="1032"/>
      <c r="D227" s="1032"/>
      <c r="E227" s="1032"/>
      <c r="F227" s="1032"/>
      <c r="G227" s="1032"/>
      <c r="H227" s="1032"/>
      <c r="I227" s="1032"/>
      <c r="J227" s="1032"/>
      <c r="K227" s="520"/>
    </row>
    <row r="228" spans="1:11" s="239" customFormat="1" ht="13" customHeight="1">
      <c r="A228" s="527"/>
      <c r="B228" s="235" t="s">
        <v>120</v>
      </c>
      <c r="C228" s="236"/>
      <c r="D228" s="527"/>
      <c r="E228" s="527"/>
      <c r="F228" s="527"/>
      <c r="G228" s="527"/>
      <c r="H228" s="527"/>
      <c r="I228" s="527"/>
      <c r="J228" s="527"/>
      <c r="K228" s="527"/>
    </row>
    <row r="229" spans="1:11" s="239" customFormat="1" ht="13" customHeight="1">
      <c r="A229" s="527"/>
      <c r="B229" s="17"/>
      <c r="C229" s="527" t="s">
        <v>118</v>
      </c>
      <c r="D229" s="21">
        <f>INDEX(Kappe!B58:D58,1,MATCH(Eingabe!$C$4,Kappe!$B$12:$D$12))</f>
        <v>760.54326346673008</v>
      </c>
      <c r="E229" s="19" t="s">
        <v>119</v>
      </c>
      <c r="F229" s="17"/>
      <c r="G229" s="527" t="s">
        <v>1555</v>
      </c>
      <c r="H229" s="527"/>
      <c r="I229" s="527"/>
      <c r="J229" s="527"/>
      <c r="K229" s="527"/>
    </row>
    <row r="230" spans="1:11" s="239" customFormat="1" ht="13" customHeight="1">
      <c r="A230" s="527"/>
      <c r="B230" s="17"/>
      <c r="C230" s="17" t="s">
        <v>3</v>
      </c>
      <c r="D230" s="21">
        <f>Kappe!$B$59</f>
        <v>1.56</v>
      </c>
      <c r="E230" s="19" t="s">
        <v>7</v>
      </c>
      <c r="F230" s="17"/>
      <c r="G230" s="527" t="s">
        <v>359</v>
      </c>
      <c r="H230" s="527"/>
      <c r="I230" s="527"/>
      <c r="J230" s="527"/>
      <c r="K230" s="527"/>
    </row>
    <row r="231" spans="1:11" s="239" customFormat="1" ht="13" customHeight="1">
      <c r="A231" s="527"/>
      <c r="B231" s="17"/>
      <c r="C231" s="527" t="s">
        <v>65</v>
      </c>
      <c r="D231" s="21">
        <f>INDEX(Kappe!B60:D60,1,MATCH(Eingabe!$C$4,Kappe!$B$12:$D$12))</f>
        <v>30.470483311968351</v>
      </c>
      <c r="E231" s="19" t="s">
        <v>2</v>
      </c>
      <c r="F231" s="17"/>
      <c r="G231" s="527" t="s">
        <v>73</v>
      </c>
      <c r="H231" s="14"/>
      <c r="I231" s="14"/>
      <c r="J231" s="14"/>
      <c r="K231" s="17"/>
    </row>
    <row r="232" spans="1:11" s="239" customFormat="1" ht="13" customHeight="1">
      <c r="A232" s="527"/>
      <c r="B232" s="17"/>
      <c r="C232" s="527" t="s">
        <v>303</v>
      </c>
      <c r="D232" s="21">
        <f>Kappe!$B$61</f>
        <v>27.194109375</v>
      </c>
      <c r="E232" s="19" t="s">
        <v>2</v>
      </c>
      <c r="F232" s="17"/>
      <c r="G232" s="527" t="s">
        <v>75</v>
      </c>
      <c r="H232" s="527"/>
      <c r="I232" s="18"/>
      <c r="J232" s="17"/>
      <c r="K232" s="17"/>
    </row>
    <row r="233" spans="1:11" s="239" customFormat="1" ht="13" customHeight="1">
      <c r="A233" s="527"/>
      <c r="B233" s="17"/>
      <c r="C233" s="25" t="s">
        <v>90</v>
      </c>
      <c r="D233" s="26">
        <f>D232/D231</f>
        <v>0.8924738441650697</v>
      </c>
      <c r="E233" s="520" t="s">
        <v>7</v>
      </c>
      <c r="F233" s="27"/>
      <c r="G233" s="24" t="s">
        <v>46</v>
      </c>
      <c r="H233" s="527"/>
      <c r="I233" s="18"/>
      <c r="J233" s="17"/>
      <c r="K233" s="17"/>
    </row>
    <row r="234" spans="1:11" s="239" customFormat="1" ht="6.8" customHeight="1">
      <c r="A234" s="4"/>
      <c r="B234" s="240"/>
      <c r="C234" s="240"/>
      <c r="D234" s="240"/>
      <c r="E234" s="240"/>
      <c r="F234" s="240"/>
      <c r="G234" s="240"/>
      <c r="H234" s="240"/>
      <c r="I234" s="240"/>
      <c r="J234" s="240"/>
      <c r="K234" s="4"/>
    </row>
    <row r="235" spans="1:11" s="239" customFormat="1" ht="13" customHeight="1">
      <c r="A235" s="527"/>
      <c r="B235" s="238" t="s">
        <v>9</v>
      </c>
      <c r="C235" s="17"/>
      <c r="D235" s="17"/>
      <c r="E235" s="17"/>
      <c r="F235" s="527"/>
      <c r="G235" s="527"/>
      <c r="H235" s="527"/>
      <c r="I235" s="18"/>
      <c r="J235" s="17"/>
      <c r="K235" s="17"/>
    </row>
    <row r="236" spans="1:11" s="239" customFormat="1" ht="13" customHeight="1">
      <c r="A236" s="527"/>
      <c r="B236" s="17"/>
      <c r="C236" s="4" t="s">
        <v>10</v>
      </c>
      <c r="D236" s="18">
        <f>Kappe!$B$64</f>
        <v>2</v>
      </c>
      <c r="E236" s="19" t="s">
        <v>7</v>
      </c>
      <c r="F236" s="17"/>
      <c r="G236" s="527" t="s">
        <v>1324</v>
      </c>
      <c r="H236" s="527"/>
      <c r="I236" s="18"/>
      <c r="J236" s="17"/>
      <c r="K236" s="17"/>
    </row>
    <row r="237" spans="1:11" s="239" customFormat="1" ht="13" customHeight="1">
      <c r="A237" s="17"/>
      <c r="B237" s="17"/>
      <c r="C237" s="527" t="s">
        <v>18</v>
      </c>
      <c r="D237" s="21">
        <f>INDEX(Kappe!B65:D65,1,MATCH(Eingabe!$C$4,Kappe!$B$12:$D$12))</f>
        <v>82.085313531373316</v>
      </c>
      <c r="E237" s="237" t="s">
        <v>2</v>
      </c>
      <c r="F237" s="17"/>
      <c r="G237" s="527" t="s">
        <v>1324</v>
      </c>
      <c r="H237" s="17"/>
      <c r="I237" s="17"/>
      <c r="J237" s="17"/>
      <c r="K237" s="17"/>
    </row>
    <row r="238" spans="1:11" s="239" customFormat="1" ht="13" customHeight="1">
      <c r="A238" s="17"/>
      <c r="B238" s="17"/>
      <c r="C238" s="17" t="s">
        <v>12</v>
      </c>
      <c r="D238" s="21">
        <f>Kappe!$B$66</f>
        <v>1.2</v>
      </c>
      <c r="E238" s="19" t="s">
        <v>7</v>
      </c>
      <c r="F238" s="17"/>
      <c r="G238" s="527" t="s">
        <v>1324</v>
      </c>
      <c r="H238" s="17"/>
      <c r="I238" s="17"/>
      <c r="J238" s="17"/>
      <c r="K238" s="17"/>
    </row>
    <row r="239" spans="1:11" s="239" customFormat="1" ht="13" customHeight="1">
      <c r="A239" s="17"/>
      <c r="B239" s="17"/>
      <c r="C239" s="17" t="s">
        <v>72</v>
      </c>
      <c r="D239" s="21">
        <f>INDEX(Kappe!B67:D67,1,MATCH(Eingabe!$C$4,Kappe!$B$12:$D$12))</f>
        <v>68.404427942811097</v>
      </c>
      <c r="E239" s="19" t="s">
        <v>2</v>
      </c>
      <c r="F239" s="17"/>
      <c r="G239" s="527" t="s">
        <v>73</v>
      </c>
      <c r="H239" s="17"/>
      <c r="I239" s="17"/>
      <c r="J239" s="17"/>
      <c r="K239" s="17"/>
    </row>
    <row r="240" spans="1:11" s="239" customFormat="1" ht="13" customHeight="1">
      <c r="A240" s="17"/>
      <c r="B240" s="17"/>
      <c r="C240" s="527" t="s">
        <v>303</v>
      </c>
      <c r="D240" s="21">
        <f>Kappe!$B$84</f>
        <v>27.194109375</v>
      </c>
      <c r="E240" s="19" t="s">
        <v>2</v>
      </c>
      <c r="F240" s="17"/>
      <c r="G240" s="527" t="s">
        <v>75</v>
      </c>
      <c r="H240" s="17"/>
      <c r="I240" s="17"/>
      <c r="J240" s="17"/>
      <c r="K240" s="17"/>
    </row>
    <row r="241" spans="1:11" s="239" customFormat="1" ht="13" customHeight="1">
      <c r="A241" s="17"/>
      <c r="B241" s="17"/>
      <c r="C241" s="25" t="s">
        <v>91</v>
      </c>
      <c r="D241" s="26">
        <f>D240/D239</f>
        <v>0.39754896273287144</v>
      </c>
      <c r="E241" s="520" t="s">
        <v>7</v>
      </c>
      <c r="F241" s="27"/>
      <c r="G241" s="24" t="s">
        <v>46</v>
      </c>
      <c r="H241" s="17"/>
      <c r="I241" s="17"/>
      <c r="J241" s="17"/>
      <c r="K241" s="17"/>
    </row>
    <row r="242" spans="1:11" s="239" customFormat="1" ht="6.8" customHeight="1">
      <c r="A242" s="17"/>
      <c r="B242" s="17"/>
      <c r="C242" s="23"/>
      <c r="D242" s="21"/>
      <c r="E242" s="19"/>
      <c r="F242" s="17"/>
      <c r="G242" s="527"/>
      <c r="H242" s="20"/>
      <c r="I242" s="17"/>
      <c r="J242" s="17"/>
      <c r="K242" s="17"/>
    </row>
    <row r="243" spans="1:11" s="239" customFormat="1" ht="13" customHeight="1">
      <c r="A243" s="1034" t="s">
        <v>521</v>
      </c>
      <c r="B243" s="1034"/>
      <c r="C243" s="1034"/>
      <c r="D243" s="1034"/>
      <c r="E243" s="1034"/>
      <c r="F243" s="1034"/>
      <c r="G243" s="1034"/>
      <c r="H243" s="1034"/>
      <c r="I243" s="1034"/>
      <c r="J243" s="1034"/>
      <c r="K243" s="17"/>
    </row>
    <row r="244" spans="1:11" s="239" customFormat="1" ht="6.8" customHeight="1">
      <c r="A244" s="17"/>
      <c r="B244" s="17"/>
      <c r="C244" s="23"/>
      <c r="D244" s="18"/>
      <c r="E244" s="19"/>
      <c r="F244" s="17"/>
      <c r="G244" s="527"/>
      <c r="H244" s="20"/>
      <c r="I244" s="17"/>
      <c r="J244" s="17"/>
      <c r="K244" s="17"/>
    </row>
    <row r="245" spans="1:11" s="239" customFormat="1" ht="13" customHeight="1">
      <c r="A245" s="17"/>
      <c r="B245" s="17"/>
      <c r="C245" s="23" t="s">
        <v>85</v>
      </c>
      <c r="D245" s="21">
        <f>INDEX(Kappe!B89:D89,1,MATCH(Eingabe!$C$4,Kappe!$B$12:$D$12))</f>
        <v>0.12507810961828131</v>
      </c>
      <c r="E245" s="19" t="s">
        <v>7</v>
      </c>
      <c r="F245" s="17"/>
      <c r="G245" s="527" t="s">
        <v>520</v>
      </c>
      <c r="H245" s="20"/>
      <c r="I245" s="17"/>
      <c r="J245" s="17"/>
      <c r="K245" s="17"/>
    </row>
    <row r="246" spans="1:11" s="239" customFormat="1" ht="13" customHeight="1">
      <c r="A246" s="17"/>
      <c r="B246" s="17"/>
      <c r="C246" s="23" t="s">
        <v>87</v>
      </c>
      <c r="D246" s="21">
        <f>INDEX(Kappe!B90:D90,1,MATCH(Eingabe!$C$4,Kappe!$B$12:$D$12))</f>
        <v>0.8924738441650697</v>
      </c>
      <c r="E246" s="19" t="s">
        <v>7</v>
      </c>
      <c r="F246" s="17"/>
      <c r="G246" s="527" t="s">
        <v>519</v>
      </c>
      <c r="H246" s="20"/>
      <c r="I246" s="17"/>
      <c r="J246" s="17"/>
      <c r="K246" s="17"/>
    </row>
    <row r="247" spans="1:11" s="239" customFormat="1" ht="1.75" customHeight="1">
      <c r="A247" s="17"/>
      <c r="B247" s="17"/>
      <c r="C247" s="23"/>
      <c r="D247" s="21"/>
      <c r="E247" s="19"/>
      <c r="F247" s="17"/>
      <c r="G247" s="527"/>
      <c r="H247" s="20"/>
      <c r="I247" s="17"/>
      <c r="J247" s="17"/>
      <c r="K247" s="17"/>
    </row>
    <row r="248" spans="1:11" s="239" customFormat="1" ht="13" customHeight="1">
      <c r="A248" s="17"/>
      <c r="B248" s="17"/>
      <c r="C248" s="25" t="s">
        <v>548</v>
      </c>
      <c r="D248" s="26">
        <f>INDEX(Kappe!B92:D92,1,MATCH(Eingabe!$C$4,Kappe!$B$12:$D$12))</f>
        <v>0.84795996148612596</v>
      </c>
      <c r="E248" s="520" t="s">
        <v>7</v>
      </c>
      <c r="F248" s="27"/>
      <c r="G248" s="24" t="s">
        <v>1324</v>
      </c>
      <c r="H248" s="20"/>
      <c r="I248" s="17"/>
      <c r="J248" s="17"/>
      <c r="K248" s="17"/>
    </row>
    <row r="249" spans="1:11" s="239" customFormat="1" ht="6.8" customHeight="1">
      <c r="A249" s="17"/>
      <c r="B249" s="17"/>
      <c r="C249" s="23"/>
      <c r="D249" s="21"/>
      <c r="E249" s="19"/>
      <c r="F249" s="17"/>
      <c r="G249" s="17"/>
      <c r="H249" s="20"/>
      <c r="I249" s="17"/>
      <c r="J249" s="17"/>
      <c r="K249" s="17"/>
    </row>
    <row r="250" spans="1:11" s="239" customFormat="1" ht="14.15" customHeight="1">
      <c r="A250" s="1033" t="s">
        <v>1157</v>
      </c>
      <c r="B250" s="1033"/>
      <c r="C250" s="1033"/>
      <c r="D250" s="1033"/>
      <c r="E250" s="1033"/>
      <c r="F250" s="1033"/>
      <c r="G250" s="1033"/>
      <c r="H250" s="1033"/>
      <c r="I250" s="1033"/>
      <c r="J250" s="1033"/>
      <c r="K250" s="502"/>
    </row>
    <row r="251" spans="1:11" s="239" customFormat="1" ht="6.8" customHeight="1">
      <c r="A251" s="4"/>
      <c r="B251" s="240"/>
      <c r="C251" s="240"/>
      <c r="D251" s="240"/>
      <c r="E251" s="240"/>
      <c r="F251" s="240"/>
      <c r="G251" s="240"/>
      <c r="H251" s="240"/>
      <c r="I251" s="240"/>
      <c r="J251" s="240"/>
      <c r="K251" s="4"/>
    </row>
    <row r="252" spans="1:11" s="239" customFormat="1" ht="13" customHeight="1">
      <c r="A252" s="1032" t="s">
        <v>514</v>
      </c>
      <c r="B252" s="1032"/>
      <c r="C252" s="1032"/>
      <c r="D252" s="1032"/>
      <c r="E252" s="1032"/>
      <c r="F252" s="1032"/>
      <c r="G252" s="1032"/>
      <c r="H252" s="1032"/>
      <c r="I252" s="1032"/>
      <c r="J252" s="1032"/>
      <c r="K252" s="520"/>
    </row>
    <row r="253" spans="1:11" s="239" customFormat="1" ht="13" customHeight="1">
      <c r="A253" s="17"/>
      <c r="B253" s="14" t="s">
        <v>1</v>
      </c>
      <c r="C253" s="232"/>
      <c r="D253" s="232"/>
      <c r="E253" s="232"/>
      <c r="F253" s="17"/>
      <c r="G253" s="527"/>
      <c r="H253" s="527"/>
      <c r="I253" s="527"/>
      <c r="J253" s="527"/>
      <c r="K253" s="17"/>
    </row>
    <row r="254" spans="1:11" s="239" customFormat="1" ht="13" customHeight="1">
      <c r="A254" s="17"/>
      <c r="B254" s="17"/>
      <c r="C254" s="527" t="s">
        <v>4</v>
      </c>
      <c r="D254" s="21">
        <f>INDEX(Tragwerk!G23:I23,1,MATCH(Eingabe!$C$4,Tragwerk!$G$14:$I$14))</f>
        <v>247</v>
      </c>
      <c r="E254" s="19" t="s">
        <v>2</v>
      </c>
      <c r="F254" s="17"/>
      <c r="G254" s="527" t="s">
        <v>361</v>
      </c>
      <c r="H254" s="527"/>
      <c r="I254" s="527"/>
      <c r="J254" s="527"/>
      <c r="K254" s="17"/>
    </row>
    <row r="255" spans="1:11" s="239" customFormat="1" ht="13" customHeight="1">
      <c r="A255" s="17"/>
      <c r="B255" s="17"/>
      <c r="C255" s="17" t="s">
        <v>3</v>
      </c>
      <c r="D255" s="21">
        <f>Tragwerk!$G$24</f>
        <v>1.87</v>
      </c>
      <c r="E255" s="19" t="s">
        <v>7</v>
      </c>
      <c r="F255" s="17"/>
      <c r="G255" s="527" t="s">
        <v>359</v>
      </c>
      <c r="H255" s="527"/>
      <c r="I255" s="527"/>
      <c r="J255" s="527"/>
      <c r="K255" s="17"/>
    </row>
    <row r="256" spans="1:11" s="239" customFormat="1" ht="13" customHeight="1">
      <c r="A256" s="17"/>
      <c r="B256" s="17"/>
      <c r="C256" s="527" t="s">
        <v>64</v>
      </c>
      <c r="D256" s="21">
        <f>INDEX(Tragwerk!G25:I25,1,MATCH(Eingabe!$C$4,Tragwerk!$G$14:$I$14))</f>
        <v>132.08556149732618</v>
      </c>
      <c r="E256" s="19" t="s">
        <v>2</v>
      </c>
      <c r="F256" s="17"/>
      <c r="G256" s="527" t="s">
        <v>73</v>
      </c>
      <c r="H256" s="527"/>
      <c r="I256" s="527"/>
      <c r="J256" s="527"/>
      <c r="K256" s="17"/>
    </row>
    <row r="257" spans="1:11" s="239" customFormat="1" ht="13" customHeight="1">
      <c r="A257" s="17"/>
      <c r="B257" s="17"/>
      <c r="C257" s="527" t="s">
        <v>302</v>
      </c>
      <c r="D257" s="21">
        <f>Tragwerk!$G$60</f>
        <v>3.3432704953967556</v>
      </c>
      <c r="E257" s="19" t="s">
        <v>2</v>
      </c>
      <c r="F257" s="17"/>
      <c r="G257" s="527" t="s">
        <v>75</v>
      </c>
      <c r="H257" s="527"/>
      <c r="I257" s="527"/>
      <c r="J257" s="527"/>
      <c r="K257" s="17"/>
    </row>
    <row r="258" spans="1:11" s="239" customFormat="1" ht="13" customHeight="1">
      <c r="A258" s="17"/>
      <c r="B258" s="17"/>
      <c r="C258" s="25" t="s">
        <v>88</v>
      </c>
      <c r="D258" s="26">
        <f>D257/D256</f>
        <v>2.5311400106849936E-2</v>
      </c>
      <c r="E258" s="520" t="s">
        <v>7</v>
      </c>
      <c r="F258" s="27"/>
      <c r="G258" s="24" t="s">
        <v>46</v>
      </c>
      <c r="H258" s="527"/>
      <c r="I258" s="527"/>
      <c r="J258" s="527"/>
      <c r="K258" s="17"/>
    </row>
    <row r="259" spans="1:11" s="239" customFormat="1" ht="6.8" customHeight="1">
      <c r="A259" s="4"/>
      <c r="B259" s="240"/>
      <c r="C259" s="240"/>
      <c r="D259" s="240"/>
      <c r="E259" s="240"/>
      <c r="F259" s="240"/>
      <c r="G259" s="240"/>
      <c r="H259" s="240"/>
      <c r="I259" s="240"/>
      <c r="J259" s="240"/>
      <c r="K259" s="4"/>
    </row>
    <row r="260" spans="1:11" s="239" customFormat="1" ht="13" customHeight="1">
      <c r="A260" s="17"/>
      <c r="B260" s="233" t="s">
        <v>132</v>
      </c>
      <c r="C260" s="19"/>
      <c r="D260" s="19"/>
      <c r="E260" s="17"/>
      <c r="F260" s="17"/>
      <c r="G260" s="527"/>
      <c r="H260" s="527"/>
      <c r="I260" s="527"/>
      <c r="J260" s="527"/>
      <c r="K260" s="17"/>
    </row>
    <row r="261" spans="1:11" s="239" customFormat="1" ht="14.25" customHeight="1">
      <c r="A261" s="17"/>
      <c r="B261" s="233"/>
      <c r="C261" s="234" t="s">
        <v>128</v>
      </c>
      <c r="D261" s="21">
        <f>INDEX(Tragwerk!$G$27:$I$27,1,MATCH(Eingabe!$C$4,Tragwerk!$G$14:$I$14))</f>
        <v>84.446010528493645</v>
      </c>
      <c r="E261" s="19" t="s">
        <v>2</v>
      </c>
      <c r="F261" s="17"/>
      <c r="G261" s="527" t="s">
        <v>1561</v>
      </c>
      <c r="H261" s="527"/>
      <c r="I261" s="527"/>
      <c r="J261" s="527"/>
      <c r="K261" s="17"/>
    </row>
    <row r="262" spans="1:11" s="239" customFormat="1" ht="13" customHeight="1">
      <c r="A262" s="17"/>
      <c r="B262" s="233"/>
      <c r="C262" s="234" t="s">
        <v>129</v>
      </c>
      <c r="D262" s="20">
        <f>INDEX(Tragwerk!$G$28:$I$28,1,MATCH(Eingabe!$C$4,Tragwerk!$G$14:$I$14))</f>
        <v>420</v>
      </c>
      <c r="E262" s="241" t="s">
        <v>0</v>
      </c>
      <c r="F262" s="17"/>
      <c r="G262" s="527" t="s">
        <v>1559</v>
      </c>
      <c r="H262" s="527"/>
      <c r="I262" s="527"/>
      <c r="J262" s="527"/>
      <c r="K262" s="17"/>
    </row>
    <row r="263" spans="1:11" s="239" customFormat="1" ht="14.25" customHeight="1">
      <c r="A263" s="17"/>
      <c r="B263" s="233"/>
      <c r="C263" s="234" t="s">
        <v>130</v>
      </c>
      <c r="D263" s="20">
        <f>INDEX(Tragwerk!$G$29:$I$29,1,MATCH(Eingabe!$C$4,Tragwerk!$G$14:$I$14))</f>
        <v>176400</v>
      </c>
      <c r="E263" s="241" t="s">
        <v>16</v>
      </c>
      <c r="F263" s="17"/>
      <c r="G263" s="527" t="s">
        <v>1554</v>
      </c>
      <c r="H263" s="527"/>
      <c r="I263" s="527"/>
      <c r="J263" s="527"/>
      <c r="K263" s="17"/>
    </row>
    <row r="264" spans="1:11" s="239" customFormat="1" ht="13" customHeight="1">
      <c r="A264" s="17"/>
      <c r="B264" s="233"/>
      <c r="C264" s="234" t="s">
        <v>131</v>
      </c>
      <c r="D264" s="20">
        <f>INDEX(Tragwerk!$G$30:$I$30,1,MATCH(Eingabe!$C$4,Tragwerk!$G$14:$I$14))</f>
        <v>142800</v>
      </c>
      <c r="E264" s="241" t="s">
        <v>16</v>
      </c>
      <c r="F264" s="17"/>
      <c r="G264" s="527" t="s">
        <v>1554</v>
      </c>
      <c r="H264" s="527"/>
      <c r="I264" s="527"/>
      <c r="J264" s="527"/>
      <c r="K264" s="17"/>
    </row>
    <row r="265" spans="1:11" s="239" customFormat="1" ht="13" customHeight="1">
      <c r="A265" s="17"/>
      <c r="B265" s="233"/>
      <c r="C265" s="234" t="s">
        <v>133</v>
      </c>
      <c r="D265" s="21">
        <f>INDEX(Tragwerk!$G$31:$I$31,1,MATCH(Eingabe!$C$4,Tragwerk!$G$14:$I$14))</f>
        <v>1</v>
      </c>
      <c r="E265" s="19" t="s">
        <v>7</v>
      </c>
      <c r="F265" s="17"/>
      <c r="G265" s="527" t="s">
        <v>1324</v>
      </c>
      <c r="H265" s="527"/>
      <c r="I265" s="527"/>
      <c r="J265" s="527"/>
      <c r="K265" s="17"/>
    </row>
    <row r="266" spans="1:11" s="239" customFormat="1" ht="13" customHeight="1">
      <c r="A266" s="17"/>
      <c r="B266" s="233"/>
      <c r="C266" s="234" t="s">
        <v>104</v>
      </c>
      <c r="D266" s="21">
        <f>INDEX(Tragwerk!$G$32:$I$32,1,MATCH(Eingabe!$C$4,Tragwerk!$G$14:$I$14))</f>
        <v>1</v>
      </c>
      <c r="E266" s="19" t="s">
        <v>7</v>
      </c>
      <c r="F266" s="17"/>
      <c r="G266" s="527" t="s">
        <v>1324</v>
      </c>
      <c r="H266" s="527"/>
      <c r="I266" s="527"/>
      <c r="J266" s="527"/>
      <c r="K266" s="17"/>
    </row>
    <row r="267" spans="1:11" s="239" customFormat="1" ht="13" customHeight="1">
      <c r="A267" s="17"/>
      <c r="B267" s="233"/>
      <c r="C267" s="234" t="s">
        <v>110</v>
      </c>
      <c r="D267" s="19">
        <f>INDEX(Tragwerk!$G$33:$I$33,1,MATCH(Eingabe!$C$4,Tragwerk!$G$14:$I$14))</f>
        <v>1.04</v>
      </c>
      <c r="E267" s="19" t="s">
        <v>7</v>
      </c>
      <c r="F267" s="17"/>
      <c r="G267" s="527" t="s">
        <v>360</v>
      </c>
      <c r="H267" s="527"/>
      <c r="I267" s="527"/>
      <c r="J267" s="527"/>
      <c r="K267" s="17"/>
    </row>
    <row r="268" spans="1:11" s="239" customFormat="1" ht="13" customHeight="1">
      <c r="A268" s="17"/>
      <c r="B268" s="233"/>
      <c r="C268" s="234" t="s">
        <v>111</v>
      </c>
      <c r="D268" s="19">
        <f>INDEX(Tragwerk!$G$34:$I$34,1,MATCH(Eingabe!$C$4,Tragwerk!$G$14:$I$14))</f>
        <v>1.07</v>
      </c>
      <c r="E268" s="19" t="s">
        <v>7</v>
      </c>
      <c r="F268" s="17"/>
      <c r="G268" s="527" t="s">
        <v>360</v>
      </c>
      <c r="H268" s="527"/>
      <c r="I268" s="527"/>
      <c r="J268" s="527"/>
      <c r="K268" s="17"/>
    </row>
    <row r="269" spans="1:11" s="239" customFormat="1" ht="13" customHeight="1">
      <c r="A269" s="17"/>
      <c r="B269" s="233"/>
      <c r="C269" s="234" t="s">
        <v>112</v>
      </c>
      <c r="D269" s="19">
        <f>INDEX(Tragwerk!$G$35:$I$35,1,MATCH(Eingabe!$C$4,Tragwerk!$G$14:$I$14))</f>
        <v>1.0900000000000001</v>
      </c>
      <c r="E269" s="19" t="s">
        <v>7</v>
      </c>
      <c r="F269" s="17"/>
      <c r="G269" s="527" t="s">
        <v>360</v>
      </c>
      <c r="H269" s="527"/>
      <c r="I269" s="527"/>
      <c r="J269" s="527"/>
      <c r="K269" s="17"/>
    </row>
    <row r="270" spans="1:11" s="239" customFormat="1" ht="13" customHeight="1">
      <c r="A270" s="17"/>
      <c r="B270" s="233"/>
      <c r="C270" s="234" t="s">
        <v>108</v>
      </c>
      <c r="D270" s="19">
        <f>Tragwerk!$G$38</f>
        <v>1.2</v>
      </c>
      <c r="E270" s="19" t="s">
        <v>7</v>
      </c>
      <c r="F270" s="17"/>
      <c r="G270" s="527" t="s">
        <v>1324</v>
      </c>
      <c r="H270" s="527"/>
      <c r="I270" s="527"/>
      <c r="J270" s="527"/>
      <c r="K270" s="17"/>
    </row>
    <row r="271" spans="1:11" s="239" customFormat="1" ht="13" customHeight="1">
      <c r="A271" s="17"/>
      <c r="B271" s="233"/>
      <c r="C271" s="234" t="s">
        <v>123</v>
      </c>
      <c r="D271" s="21">
        <f>INDEX(Tragwerk!G39:I39,1,MATCH(Eingabe!C4,Tragwerk!G14:I14))</f>
        <v>59.246248656498729</v>
      </c>
      <c r="E271" s="19" t="s">
        <v>2</v>
      </c>
      <c r="F271" s="17"/>
      <c r="G271" s="527" t="s">
        <v>73</v>
      </c>
      <c r="H271" s="527"/>
      <c r="I271" s="527"/>
      <c r="J271" s="527"/>
      <c r="K271" s="17"/>
    </row>
    <row r="272" spans="1:11" s="239" customFormat="1" ht="13" customHeight="1">
      <c r="A272" s="17"/>
      <c r="B272" s="233"/>
      <c r="C272" s="527" t="s">
        <v>302</v>
      </c>
      <c r="D272" s="21">
        <f>Tragwerk!$G$60</f>
        <v>3.3432704953967556</v>
      </c>
      <c r="E272" s="19" t="s">
        <v>2</v>
      </c>
      <c r="F272" s="17"/>
      <c r="G272" s="527" t="s">
        <v>75</v>
      </c>
      <c r="H272" s="527"/>
      <c r="I272" s="527"/>
      <c r="J272" s="527"/>
      <c r="K272" s="17"/>
    </row>
    <row r="273" spans="1:11" s="239" customFormat="1" ht="13" customHeight="1">
      <c r="A273" s="17"/>
      <c r="B273" s="233"/>
      <c r="C273" s="25" t="s">
        <v>122</v>
      </c>
      <c r="D273" s="26">
        <f>D272/D271</f>
        <v>5.6430079054972063E-2</v>
      </c>
      <c r="E273" s="520" t="s">
        <v>7</v>
      </c>
      <c r="F273" s="27"/>
      <c r="G273" s="24" t="s">
        <v>46</v>
      </c>
      <c r="H273" s="527"/>
      <c r="I273" s="527"/>
      <c r="J273" s="527"/>
      <c r="K273" s="17"/>
    </row>
    <row r="274" spans="1:11" s="239" customFormat="1" ht="6.8" customHeight="1">
      <c r="A274" s="4"/>
      <c r="B274" s="240"/>
      <c r="C274" s="240"/>
      <c r="D274" s="240"/>
      <c r="E274" s="240"/>
      <c r="F274" s="240"/>
      <c r="G274" s="240"/>
      <c r="H274" s="240"/>
      <c r="I274" s="240"/>
      <c r="J274" s="240"/>
      <c r="K274" s="4"/>
    </row>
    <row r="275" spans="1:11" s="239" customFormat="1" ht="13" customHeight="1">
      <c r="A275" s="17"/>
      <c r="B275" s="233" t="s">
        <v>8</v>
      </c>
      <c r="C275" s="19"/>
      <c r="D275" s="19"/>
      <c r="E275" s="17"/>
      <c r="F275" s="17"/>
      <c r="G275" s="527"/>
      <c r="H275" s="527"/>
      <c r="I275" s="527"/>
      <c r="J275" s="527"/>
      <c r="K275" s="17"/>
    </row>
    <row r="276" spans="1:11" s="239" customFormat="1" ht="14.25" customHeight="1">
      <c r="A276" s="17"/>
      <c r="B276" s="17"/>
      <c r="C276" s="527" t="s">
        <v>78</v>
      </c>
      <c r="D276" s="21">
        <f>INDEX(Tragwerk!G41:I41,1,MATCH(Eingabe!$C$4,Tragwerk!$G$14:$I$14))</f>
        <v>80.007519646593167</v>
      </c>
      <c r="E276" s="19" t="s">
        <v>2</v>
      </c>
      <c r="F276" s="17"/>
      <c r="G276" s="527" t="s">
        <v>1324</v>
      </c>
      <c r="H276" s="527"/>
      <c r="I276" s="527"/>
      <c r="J276" s="527"/>
      <c r="K276" s="17"/>
    </row>
    <row r="277" spans="1:11" s="239" customFormat="1" ht="14.25" customHeight="1">
      <c r="A277" s="17"/>
      <c r="B277" s="17"/>
      <c r="C277" s="527" t="s">
        <v>79</v>
      </c>
      <c r="D277" s="19">
        <f>INDEX(Tragwerk!G42:I42,1,MATCH(Eingabe!$C$4,Tragwerk!$G$14:$I$14))</f>
        <v>176400</v>
      </c>
      <c r="E277" s="19" t="s">
        <v>16</v>
      </c>
      <c r="F277" s="17"/>
      <c r="G277" s="527" t="s">
        <v>1324</v>
      </c>
      <c r="H277" s="527"/>
      <c r="I277" s="527"/>
      <c r="J277" s="527"/>
      <c r="K277" s="17"/>
    </row>
    <row r="278" spans="1:11" s="239" customFormat="1" ht="13" customHeight="1">
      <c r="A278" s="17"/>
      <c r="B278" s="17"/>
      <c r="C278" s="527" t="s">
        <v>80</v>
      </c>
      <c r="D278" s="19">
        <f>INDEX(Tragwerk!G43:I43,1,MATCH(Eingabe!$C$4,Tragwerk!$G$14:$I$14))</f>
        <v>142800</v>
      </c>
      <c r="E278" s="19" t="s">
        <v>16</v>
      </c>
      <c r="F278" s="17"/>
      <c r="G278" s="527" t="s">
        <v>1324</v>
      </c>
      <c r="H278" s="527"/>
      <c r="I278" s="527"/>
      <c r="J278" s="527"/>
      <c r="K278" s="17"/>
    </row>
    <row r="279" spans="1:11" s="239" customFormat="1" ht="13" customHeight="1">
      <c r="A279" s="17"/>
      <c r="B279" s="17"/>
      <c r="C279" s="23" t="s">
        <v>81</v>
      </c>
      <c r="D279" s="21">
        <f>INDEX(Tragwerk!G44:I44,1,MATCH(Eingabe!$C$4,Tragwerk!$G$14:$I$14))</f>
        <v>1</v>
      </c>
      <c r="E279" s="19" t="s">
        <v>7</v>
      </c>
      <c r="F279" s="17"/>
      <c r="G279" s="527" t="s">
        <v>1324</v>
      </c>
      <c r="H279" s="527"/>
      <c r="I279" s="527"/>
      <c r="J279" s="527"/>
      <c r="K279" s="17"/>
    </row>
    <row r="280" spans="1:11" s="239" customFormat="1" ht="13" customHeight="1">
      <c r="A280" s="17"/>
      <c r="B280" s="17"/>
      <c r="C280" s="23" t="s">
        <v>82</v>
      </c>
      <c r="D280" s="21">
        <f>INDEX(Tragwerk!G45:I45,1,MATCH(Eingabe!$C$4,Tragwerk!$G$14:$I$14))</f>
        <v>1</v>
      </c>
      <c r="E280" s="19" t="s">
        <v>7</v>
      </c>
      <c r="F280" s="17"/>
      <c r="G280" s="527" t="s">
        <v>1324</v>
      </c>
      <c r="H280" s="527"/>
      <c r="I280" s="527"/>
      <c r="J280" s="527"/>
      <c r="K280" s="17"/>
    </row>
    <row r="281" spans="1:11" s="239" customFormat="1" ht="13" customHeight="1">
      <c r="A281" s="17"/>
      <c r="B281" s="17"/>
      <c r="C281" s="23" t="s">
        <v>83</v>
      </c>
      <c r="D281" s="21">
        <f>INDEX(Tragwerk!G46:I46,1,MATCH(Eingabe!$C$4,Tragwerk!$G$14:$I$14))</f>
        <v>1</v>
      </c>
      <c r="E281" s="19" t="s">
        <v>7</v>
      </c>
      <c r="F281" s="17"/>
      <c r="G281" s="527" t="s">
        <v>1324</v>
      </c>
      <c r="H281" s="527"/>
      <c r="I281" s="527"/>
      <c r="J281" s="527"/>
      <c r="K281" s="17"/>
    </row>
    <row r="282" spans="1:11" s="239" customFormat="1" ht="13" customHeight="1">
      <c r="A282" s="17"/>
      <c r="B282" s="17"/>
      <c r="C282" s="527" t="s">
        <v>77</v>
      </c>
      <c r="D282" s="21">
        <f>INDEX(Tragwerk!G48:I48,1,MATCH(Eingabe!$C$4,Tragwerk!$G$14:$I$14))</f>
        <v>64.767992094861128</v>
      </c>
      <c r="E282" s="19" t="s">
        <v>2</v>
      </c>
      <c r="F282" s="17"/>
      <c r="G282" s="527" t="s">
        <v>1324</v>
      </c>
      <c r="H282" s="527"/>
      <c r="I282" s="527"/>
      <c r="J282" s="527"/>
      <c r="K282" s="17"/>
    </row>
    <row r="283" spans="1:11" s="239" customFormat="1" ht="13" customHeight="1">
      <c r="A283" s="17"/>
      <c r="B283" s="17"/>
      <c r="C283" s="17" t="s">
        <v>12</v>
      </c>
      <c r="D283" s="19">
        <f>Tragwerk!$G$49</f>
        <v>1.2</v>
      </c>
      <c r="E283" s="19" t="s">
        <v>7</v>
      </c>
      <c r="F283" s="17"/>
      <c r="G283" s="527" t="s">
        <v>1324</v>
      </c>
      <c r="H283" s="527"/>
      <c r="I283" s="527"/>
      <c r="J283" s="527"/>
      <c r="K283" s="17"/>
    </row>
    <row r="284" spans="1:11" s="239" customFormat="1" ht="13" customHeight="1">
      <c r="A284" s="17"/>
      <c r="B284" s="17"/>
      <c r="C284" s="527" t="s">
        <v>71</v>
      </c>
      <c r="D284" s="21">
        <f>INDEX(Tragwerk!G50:I50,1,MATCH(Eingabe!$C$4,Tragwerk!$G$14:$I$14))</f>
        <v>53.973326745717607</v>
      </c>
      <c r="E284" s="19" t="s">
        <v>2</v>
      </c>
      <c r="F284" s="17"/>
      <c r="G284" s="527" t="s">
        <v>73</v>
      </c>
      <c r="H284" s="527"/>
      <c r="I284" s="527"/>
      <c r="J284" s="527"/>
      <c r="K284" s="17"/>
    </row>
    <row r="285" spans="1:11" s="239" customFormat="1" ht="13" customHeight="1">
      <c r="A285" s="17"/>
      <c r="B285" s="17"/>
      <c r="C285" s="527" t="s">
        <v>302</v>
      </c>
      <c r="D285" s="21">
        <f>Tragwerk!$G$60</f>
        <v>3.3432704953967556</v>
      </c>
      <c r="E285" s="19" t="s">
        <v>2</v>
      </c>
      <c r="F285" s="17"/>
      <c r="G285" s="527" t="s">
        <v>75</v>
      </c>
      <c r="H285" s="527"/>
      <c r="I285" s="527"/>
      <c r="J285" s="527"/>
      <c r="K285" s="17"/>
    </row>
    <row r="286" spans="1:11" s="239" customFormat="1" ht="13" customHeight="1">
      <c r="A286" s="17"/>
      <c r="B286" s="17"/>
      <c r="C286" s="25" t="s">
        <v>89</v>
      </c>
      <c r="D286" s="26">
        <f>D285/D284</f>
        <v>6.1943013280388912E-2</v>
      </c>
      <c r="E286" s="520" t="s">
        <v>7</v>
      </c>
      <c r="F286" s="27"/>
      <c r="G286" s="24" t="s">
        <v>46</v>
      </c>
      <c r="H286" s="527"/>
      <c r="I286" s="527"/>
      <c r="J286" s="527"/>
      <c r="K286" s="17"/>
    </row>
    <row r="287" spans="1:11" s="239" customFormat="1" ht="6.8" customHeight="1">
      <c r="A287" s="4"/>
      <c r="B287" s="240"/>
      <c r="C287" s="240"/>
      <c r="D287" s="240"/>
      <c r="E287" s="240"/>
      <c r="F287" s="240"/>
      <c r="G287" s="240"/>
      <c r="H287" s="240"/>
      <c r="I287" s="240"/>
      <c r="J287" s="240"/>
      <c r="K287" s="4"/>
    </row>
    <row r="288" spans="1:11" s="239" customFormat="1" ht="13" customHeight="1">
      <c r="A288" s="1032" t="s">
        <v>513</v>
      </c>
      <c r="B288" s="1032"/>
      <c r="C288" s="1032"/>
      <c r="D288" s="1032"/>
      <c r="E288" s="1032"/>
      <c r="F288" s="1032"/>
      <c r="G288" s="1032"/>
      <c r="H288" s="1032"/>
      <c r="I288" s="1032"/>
      <c r="J288" s="1032"/>
      <c r="K288" s="520"/>
    </row>
    <row r="289" spans="1:11" s="239" customFormat="1" ht="13" customHeight="1">
      <c r="A289" s="527"/>
      <c r="B289" s="235" t="s">
        <v>120</v>
      </c>
      <c r="C289" s="236"/>
      <c r="D289" s="527"/>
      <c r="E289" s="527"/>
      <c r="F289" s="527"/>
      <c r="G289" s="527"/>
      <c r="H289" s="527"/>
      <c r="I289" s="527"/>
      <c r="J289" s="527"/>
      <c r="K289" s="527"/>
    </row>
    <row r="290" spans="1:11" s="239" customFormat="1" ht="13" customHeight="1">
      <c r="A290" s="527"/>
      <c r="B290" s="17"/>
      <c r="C290" s="527" t="s">
        <v>118</v>
      </c>
      <c r="D290" s="21">
        <f>INDEX(Tragwerk!G65:I65,1,MATCH(Eingabe!$C$4,Tragwerk!$G$14:$I$14))</f>
        <v>760.54326346673008</v>
      </c>
      <c r="E290" s="19" t="s">
        <v>119</v>
      </c>
      <c r="F290" s="17"/>
      <c r="G290" s="527" t="s">
        <v>362</v>
      </c>
      <c r="H290" s="527"/>
      <c r="I290" s="527"/>
      <c r="J290" s="527"/>
      <c r="K290" s="527"/>
    </row>
    <row r="291" spans="1:11" s="239" customFormat="1" ht="13" customHeight="1">
      <c r="A291" s="527"/>
      <c r="B291" s="17"/>
      <c r="C291" s="17" t="s">
        <v>3</v>
      </c>
      <c r="D291" s="21">
        <f>Tragwerk!$G$66</f>
        <v>1.56</v>
      </c>
      <c r="E291" s="19" t="s">
        <v>7</v>
      </c>
      <c r="F291" s="17"/>
      <c r="G291" s="527" t="s">
        <v>359</v>
      </c>
      <c r="H291" s="527"/>
      <c r="I291" s="527"/>
      <c r="J291" s="527"/>
      <c r="K291" s="527"/>
    </row>
    <row r="292" spans="1:11" s="239" customFormat="1" ht="13" customHeight="1">
      <c r="A292" s="527"/>
      <c r="B292" s="17"/>
      <c r="C292" s="527" t="s">
        <v>65</v>
      </c>
      <c r="D292" s="21">
        <f>INDEX(Tragwerk!G67:I67,1,MATCH(Eingabe!$C$4,Tragwerk!$G$14:$I$14))</f>
        <v>30.470483311968351</v>
      </c>
      <c r="E292" s="19" t="s">
        <v>2</v>
      </c>
      <c r="F292" s="17"/>
      <c r="G292" s="527" t="s">
        <v>73</v>
      </c>
      <c r="H292" s="527"/>
      <c r="I292" s="527"/>
      <c r="J292" s="527"/>
      <c r="K292" s="527"/>
    </row>
    <row r="293" spans="1:11" s="239" customFormat="1" ht="13" customHeight="1">
      <c r="A293" s="527"/>
      <c r="B293" s="17"/>
      <c r="C293" s="527" t="s">
        <v>303</v>
      </c>
      <c r="D293" s="21">
        <f>Tragwerk!$G$68</f>
        <v>27.194109375</v>
      </c>
      <c r="E293" s="19" t="s">
        <v>2</v>
      </c>
      <c r="F293" s="17"/>
      <c r="G293" s="527" t="s">
        <v>75</v>
      </c>
      <c r="H293" s="527"/>
      <c r="I293" s="527"/>
      <c r="J293" s="527"/>
      <c r="K293" s="527"/>
    </row>
    <row r="294" spans="1:11" s="239" customFormat="1" ht="13" customHeight="1">
      <c r="A294" s="527"/>
      <c r="B294" s="17"/>
      <c r="C294" s="25" t="s">
        <v>90</v>
      </c>
      <c r="D294" s="26">
        <f>D293/D292</f>
        <v>0.8924738441650697</v>
      </c>
      <c r="E294" s="520" t="s">
        <v>7</v>
      </c>
      <c r="F294" s="27"/>
      <c r="G294" s="24" t="s">
        <v>46</v>
      </c>
      <c r="H294" s="527"/>
      <c r="I294" s="527"/>
      <c r="J294" s="527"/>
      <c r="K294" s="527"/>
    </row>
    <row r="295" spans="1:11" s="239" customFormat="1" ht="6.8" customHeight="1">
      <c r="A295" s="527"/>
      <c r="B295" s="17"/>
      <c r="C295" s="25"/>
      <c r="D295" s="26"/>
      <c r="E295" s="520"/>
      <c r="F295" s="27"/>
      <c r="G295" s="24"/>
      <c r="H295" s="527"/>
      <c r="I295" s="527"/>
      <c r="J295" s="527"/>
      <c r="K295" s="527"/>
    </row>
    <row r="296" spans="1:11" s="239" customFormat="1" ht="13" customHeight="1">
      <c r="A296" s="527"/>
      <c r="B296" s="238" t="s">
        <v>9</v>
      </c>
      <c r="C296" s="17"/>
      <c r="D296" s="17"/>
      <c r="E296" s="17"/>
      <c r="F296" s="527"/>
      <c r="G296" s="527"/>
      <c r="H296" s="527"/>
      <c r="I296" s="527"/>
      <c r="J296" s="527"/>
      <c r="K296" s="527"/>
    </row>
    <row r="297" spans="1:11" s="239" customFormat="1" ht="13" customHeight="1">
      <c r="A297" s="527"/>
      <c r="B297" s="17"/>
      <c r="C297" s="4" t="s">
        <v>10</v>
      </c>
      <c r="D297" s="18">
        <f>Tragwerk!$G$71</f>
        <v>2.5</v>
      </c>
      <c r="E297" s="19" t="s">
        <v>7</v>
      </c>
      <c r="F297" s="17"/>
      <c r="G297" s="17" t="s">
        <v>509</v>
      </c>
      <c r="H297" s="527"/>
      <c r="I297" s="527"/>
      <c r="J297" s="527"/>
      <c r="K297" s="527"/>
    </row>
    <row r="298" spans="1:11" s="239" customFormat="1" ht="13" customHeight="1">
      <c r="A298" s="17"/>
      <c r="B298" s="17"/>
      <c r="C298" s="527" t="s">
        <v>18</v>
      </c>
      <c r="D298" s="21">
        <f>INDEX(Tragwerk!G72:I72,1,MATCH(Eingabe!$C$4,Tragwerk!$G$14:$I$14))</f>
        <v>161.91998023715283</v>
      </c>
      <c r="E298" s="237" t="s">
        <v>2</v>
      </c>
      <c r="F298" s="17"/>
      <c r="G298" s="527" t="s">
        <v>1324</v>
      </c>
      <c r="H298" s="14"/>
      <c r="I298" s="14"/>
      <c r="J298" s="14"/>
      <c r="K298" s="17"/>
    </row>
    <row r="299" spans="1:11" s="239" customFormat="1" ht="13" customHeight="1">
      <c r="A299" s="17"/>
      <c r="B299" s="17"/>
      <c r="C299" s="17" t="s">
        <v>12</v>
      </c>
      <c r="D299" s="21">
        <f>Tragwerk!$G$73</f>
        <v>1.2</v>
      </c>
      <c r="E299" s="19" t="s">
        <v>7</v>
      </c>
      <c r="F299" s="17"/>
      <c r="G299" s="527" t="s">
        <v>1324</v>
      </c>
      <c r="H299" s="527"/>
      <c r="I299" s="18"/>
      <c r="J299" s="17"/>
      <c r="K299" s="17"/>
    </row>
    <row r="300" spans="1:11" s="239" customFormat="1" ht="13" customHeight="1">
      <c r="A300" s="17"/>
      <c r="B300" s="17"/>
      <c r="C300" s="17" t="s">
        <v>72</v>
      </c>
      <c r="D300" s="21">
        <f>INDEX(Tragwerk!G74:I74,1,MATCH(Eingabe!$C$4,Tragwerk!$G$14:$I$14))</f>
        <v>134.93331686429403</v>
      </c>
      <c r="E300" s="19" t="s">
        <v>2</v>
      </c>
      <c r="F300" s="17"/>
      <c r="G300" s="527" t="s">
        <v>73</v>
      </c>
      <c r="H300" s="527"/>
      <c r="I300" s="18"/>
      <c r="J300" s="17"/>
      <c r="K300" s="17"/>
    </row>
    <row r="301" spans="1:11" s="239" customFormat="1" ht="13" customHeight="1">
      <c r="A301" s="17"/>
      <c r="B301" s="17"/>
      <c r="C301" s="527" t="s">
        <v>303</v>
      </c>
      <c r="D301" s="21">
        <f>Tragwerk!$G$91</f>
        <v>27.194109375</v>
      </c>
      <c r="E301" s="19" t="s">
        <v>2</v>
      </c>
      <c r="F301" s="17"/>
      <c r="G301" s="527" t="s">
        <v>75</v>
      </c>
      <c r="H301" s="527"/>
      <c r="I301" s="18"/>
      <c r="J301" s="17"/>
      <c r="K301" s="17"/>
    </row>
    <row r="302" spans="1:11" s="239" customFormat="1" ht="13" customHeight="1">
      <c r="A302" s="17"/>
      <c r="B302" s="17"/>
      <c r="C302" s="25" t="s">
        <v>91</v>
      </c>
      <c r="D302" s="26">
        <f>D301/D300</f>
        <v>0.20153739644857191</v>
      </c>
      <c r="E302" s="520" t="s">
        <v>7</v>
      </c>
      <c r="F302" s="27"/>
      <c r="G302" s="24" t="s">
        <v>46</v>
      </c>
      <c r="H302" s="527"/>
      <c r="I302" s="18"/>
      <c r="J302" s="17"/>
      <c r="K302" s="17"/>
    </row>
    <row r="303" spans="1:11" s="239" customFormat="1" ht="6.8" customHeight="1">
      <c r="A303" s="17"/>
      <c r="B303" s="17"/>
      <c r="C303" s="25"/>
      <c r="D303" s="26"/>
      <c r="E303" s="520"/>
      <c r="F303" s="27"/>
      <c r="G303" s="24"/>
      <c r="H303" s="527"/>
      <c r="I303" s="18"/>
      <c r="J303" s="17"/>
      <c r="K303" s="17"/>
    </row>
    <row r="304" spans="1:11" s="239" customFormat="1" ht="13" customHeight="1">
      <c r="A304" s="17"/>
      <c r="B304" s="238" t="s">
        <v>11</v>
      </c>
      <c r="C304" s="25"/>
      <c r="D304" s="26"/>
      <c r="E304" s="520"/>
      <c r="F304" s="27"/>
      <c r="G304" s="24"/>
      <c r="H304" s="527"/>
      <c r="I304" s="18"/>
      <c r="J304" s="17"/>
      <c r="K304" s="17"/>
    </row>
    <row r="305" spans="1:11" s="239" customFormat="1" ht="13" customHeight="1">
      <c r="A305" s="17"/>
      <c r="B305" s="17"/>
      <c r="C305" s="234" t="s">
        <v>21</v>
      </c>
      <c r="D305" s="450">
        <f>INDEX(Tragwerk!G76:I76,1,MATCH(Eingabe!$C$4,Tragwerk!$B$14:$D$14))</f>
        <v>3.859224924939799E-2</v>
      </c>
      <c r="E305" s="19" t="s">
        <v>7</v>
      </c>
      <c r="F305" s="27"/>
      <c r="G305" s="527" t="s">
        <v>1324</v>
      </c>
      <c r="H305" s="527"/>
      <c r="I305" s="18"/>
      <c r="J305" s="17"/>
      <c r="K305" s="17"/>
    </row>
    <row r="306" spans="1:11" s="239" customFormat="1" ht="13" customHeight="1">
      <c r="A306" s="17"/>
      <c r="B306" s="17"/>
      <c r="C306" s="234" t="s">
        <v>134</v>
      </c>
      <c r="D306" s="450">
        <f>INDEX(Tragwerk!G77:I77,1,MATCH(Eingabe!$C$4,Tragwerk!$B$14:$D$14))</f>
        <v>4.8019394289709035E-2</v>
      </c>
      <c r="E306" s="19" t="s">
        <v>7</v>
      </c>
      <c r="F306" s="27"/>
      <c r="G306" s="527" t="s">
        <v>1324</v>
      </c>
      <c r="H306" s="527"/>
      <c r="I306" s="18"/>
      <c r="J306" s="17"/>
      <c r="K306" s="17"/>
    </row>
    <row r="307" spans="1:11" s="239" customFormat="1" ht="14.15" customHeight="1">
      <c r="A307" s="17"/>
      <c r="B307" s="17"/>
      <c r="C307" s="234" t="s">
        <v>481</v>
      </c>
      <c r="D307" s="21">
        <f>INDEX(Tragwerk!G78:I78,1,MATCH(Eingabe!$C$4,Tragwerk!$B$14:$D$14))</f>
        <v>471.05127459020582</v>
      </c>
      <c r="E307" s="237" t="s">
        <v>2</v>
      </c>
      <c r="F307" s="27"/>
      <c r="G307" s="527" t="s">
        <v>1324</v>
      </c>
      <c r="H307" s="527"/>
      <c r="I307" s="18"/>
      <c r="J307" s="17"/>
      <c r="K307" s="17"/>
    </row>
    <row r="308" spans="1:11" s="239" customFormat="1" ht="14.25" customHeight="1">
      <c r="A308" s="17"/>
      <c r="B308" s="17"/>
      <c r="C308" s="234" t="s">
        <v>482</v>
      </c>
      <c r="D308" s="20">
        <f>INDEX(Tragwerk!G79:I79,1,MATCH(Eingabe!$C$4,Tragwerk!$B$14:$D$14))</f>
        <v>3976200</v>
      </c>
      <c r="E308" s="19" t="s">
        <v>16</v>
      </c>
      <c r="F308" s="27"/>
      <c r="G308" s="527" t="s">
        <v>1324</v>
      </c>
      <c r="H308" s="527"/>
      <c r="I308" s="18"/>
      <c r="J308" s="17"/>
      <c r="K308" s="17"/>
    </row>
    <row r="309" spans="1:11" s="239" customFormat="1" ht="13" customHeight="1">
      <c r="A309" s="17"/>
      <c r="B309" s="17"/>
      <c r="C309" s="234" t="s">
        <v>483</v>
      </c>
      <c r="D309" s="20">
        <f>INDEX(Tragwerk!G80:I80,1,MATCH(Eingabe!$C$4,Tragwerk!$B$14:$D$14))</f>
        <v>564000</v>
      </c>
      <c r="E309" s="19" t="s">
        <v>16</v>
      </c>
      <c r="F309" s="27"/>
      <c r="G309" s="527" t="s">
        <v>1324</v>
      </c>
      <c r="H309" s="527"/>
      <c r="I309" s="18"/>
      <c r="J309" s="17"/>
      <c r="K309" s="17"/>
    </row>
    <row r="310" spans="1:11" s="239" customFormat="1" ht="13" customHeight="1">
      <c r="A310" s="17"/>
      <c r="B310" s="17"/>
      <c r="C310" s="234" t="s">
        <v>485</v>
      </c>
      <c r="D310" s="21">
        <f>INDEX(Tragwerk!G82:I82,1,MATCH(Eingabe!$C$4,Tragwerk!$B$14:$D$14))</f>
        <v>2.6551836094703507</v>
      </c>
      <c r="E310" s="19" t="s">
        <v>7</v>
      </c>
      <c r="F310" s="27"/>
      <c r="G310" s="527" t="s">
        <v>1324</v>
      </c>
      <c r="H310" s="527"/>
      <c r="I310" s="18"/>
      <c r="J310" s="17"/>
      <c r="K310" s="17"/>
    </row>
    <row r="311" spans="1:11" s="239" customFormat="1" ht="13" customHeight="1">
      <c r="A311" s="17"/>
      <c r="B311" s="17"/>
      <c r="C311" s="234" t="s">
        <v>488</v>
      </c>
      <c r="D311" s="21">
        <f>Tragwerk!G85</f>
        <v>1.2</v>
      </c>
      <c r="E311" s="19" t="s">
        <v>7</v>
      </c>
      <c r="F311" s="27"/>
      <c r="G311" s="527" t="s">
        <v>1324</v>
      </c>
      <c r="H311" s="527"/>
      <c r="I311" s="18"/>
      <c r="J311" s="17"/>
      <c r="K311" s="17"/>
    </row>
    <row r="312" spans="1:11" s="239" customFormat="1" ht="13" customHeight="1">
      <c r="A312" s="17"/>
      <c r="B312" s="17"/>
      <c r="C312" s="234" t="s">
        <v>489</v>
      </c>
      <c r="D312" s="21">
        <f>INDEX(Tragwerk!G86:I86,1,MATCH(Eingabe!$C$4,Tragwerk!$B$14:$D$14))</f>
        <v>212.88980825736712</v>
      </c>
      <c r="E312" s="237" t="s">
        <v>2</v>
      </c>
      <c r="F312" s="27"/>
      <c r="G312" s="527" t="s">
        <v>1324</v>
      </c>
      <c r="H312" s="527"/>
      <c r="I312" s="18"/>
      <c r="J312" s="17"/>
      <c r="K312" s="17"/>
    </row>
    <row r="313" spans="1:11" s="239" customFormat="1" ht="13" customHeight="1">
      <c r="A313" s="17"/>
      <c r="B313" s="17"/>
      <c r="C313" s="234" t="s">
        <v>12</v>
      </c>
      <c r="D313" s="21">
        <f>Tragwerk!G87</f>
        <v>1.2</v>
      </c>
      <c r="E313" s="19" t="s">
        <v>7</v>
      </c>
      <c r="F313" s="27"/>
      <c r="G313" s="527" t="s">
        <v>1324</v>
      </c>
      <c r="H313" s="527"/>
      <c r="I313" s="18"/>
      <c r="J313" s="17"/>
      <c r="K313" s="17"/>
    </row>
    <row r="314" spans="1:11" s="239" customFormat="1" ht="13" customHeight="1">
      <c r="A314" s="17"/>
      <c r="B314" s="17"/>
      <c r="C314" s="234" t="s">
        <v>507</v>
      </c>
      <c r="D314" s="21">
        <f>INDEX(Tragwerk!G88:I88,1,MATCH(Eingabe!$C$4,Tragwerk!$B$14:$D$14))</f>
        <v>177.40817354780594</v>
      </c>
      <c r="E314" s="237" t="s">
        <v>2</v>
      </c>
      <c r="F314" s="27"/>
      <c r="G314" s="527" t="s">
        <v>73</v>
      </c>
      <c r="H314" s="527"/>
      <c r="I314" s="18"/>
      <c r="J314" s="17"/>
      <c r="K314" s="17"/>
    </row>
    <row r="315" spans="1:11" s="239" customFormat="1" ht="13" customHeight="1">
      <c r="A315" s="17"/>
      <c r="B315" s="17"/>
      <c r="C315" s="527" t="s">
        <v>303</v>
      </c>
      <c r="D315" s="21">
        <f>Tragwerk!G91</f>
        <v>27.194109375</v>
      </c>
      <c r="E315" s="237" t="s">
        <v>2</v>
      </c>
      <c r="F315" s="27"/>
      <c r="G315" s="527" t="s">
        <v>75</v>
      </c>
      <c r="H315" s="527"/>
      <c r="I315" s="18"/>
      <c r="J315" s="17"/>
      <c r="K315" s="17"/>
    </row>
    <row r="316" spans="1:11" s="239" customFormat="1" ht="13" customHeight="1">
      <c r="A316" s="17"/>
      <c r="B316" s="17"/>
      <c r="C316" s="25" t="s">
        <v>508</v>
      </c>
      <c r="D316" s="26">
        <f>D315/D314</f>
        <v>0.1532855495390805</v>
      </c>
      <c r="E316" s="520" t="s">
        <v>7</v>
      </c>
      <c r="F316" s="27"/>
      <c r="G316" s="24" t="s">
        <v>46</v>
      </c>
      <c r="H316" s="527"/>
      <c r="I316" s="18"/>
      <c r="J316" s="17"/>
      <c r="K316" s="17"/>
    </row>
    <row r="317" spans="1:11" s="239" customFormat="1" ht="6.8" customHeight="1">
      <c r="A317" s="17"/>
      <c r="B317" s="17"/>
      <c r="C317" s="23"/>
      <c r="D317" s="18"/>
      <c r="E317" s="19"/>
      <c r="F317" s="17"/>
      <c r="G317" s="527"/>
      <c r="H317" s="20"/>
      <c r="I317" s="17"/>
      <c r="J317" s="17"/>
      <c r="K317" s="17"/>
    </row>
    <row r="318" spans="1:11" s="239" customFormat="1" ht="13" customHeight="1">
      <c r="A318" s="1032" t="s">
        <v>521</v>
      </c>
      <c r="B318" s="1032"/>
      <c r="C318" s="1032"/>
      <c r="D318" s="1032"/>
      <c r="E318" s="1032"/>
      <c r="F318" s="1032"/>
      <c r="G318" s="1032"/>
      <c r="H318" s="1032"/>
      <c r="I318" s="1032"/>
      <c r="J318" s="1032"/>
      <c r="K318" s="520"/>
    </row>
    <row r="319" spans="1:11" s="239" customFormat="1" ht="6.8" customHeight="1">
      <c r="A319" s="17"/>
      <c r="B319" s="17"/>
      <c r="C319" s="23"/>
      <c r="D319" s="18"/>
      <c r="E319" s="19"/>
      <c r="F319" s="17"/>
      <c r="G319" s="527"/>
      <c r="H319" s="20"/>
      <c r="I319" s="17"/>
      <c r="J319" s="17"/>
      <c r="K319" s="17"/>
    </row>
    <row r="320" spans="1:11" s="239" customFormat="1" ht="13" customHeight="1">
      <c r="A320" s="17"/>
      <c r="B320" s="17"/>
      <c r="C320" s="23" t="s">
        <v>85</v>
      </c>
      <c r="D320" s="21">
        <f>INDEX(Tragwerk!G96:I96,1,MATCH(Eingabe!$C$4,Tragwerk!$G$14:$I$14))</f>
        <v>6.1943013280388912E-2</v>
      </c>
      <c r="E320" s="19" t="s">
        <v>7</v>
      </c>
      <c r="F320" s="17"/>
      <c r="G320" s="527" t="s">
        <v>515</v>
      </c>
      <c r="H320" s="20"/>
      <c r="I320" s="17"/>
      <c r="J320" s="17"/>
      <c r="K320" s="17"/>
    </row>
    <row r="321" spans="1:11" s="239" customFormat="1" ht="13" customHeight="1">
      <c r="A321" s="17"/>
      <c r="B321" s="17"/>
      <c r="C321" s="23" t="s">
        <v>87</v>
      </c>
      <c r="D321" s="21">
        <f>INDEX(Tragwerk!G97:I97,1,MATCH(Eingabe!$C$4,Tragwerk!$G$14:$I$14))</f>
        <v>0.8924738441650697</v>
      </c>
      <c r="E321" s="19" t="s">
        <v>7</v>
      </c>
      <c r="F321" s="17"/>
      <c r="G321" s="527" t="s">
        <v>519</v>
      </c>
      <c r="H321" s="20"/>
      <c r="I321" s="17"/>
      <c r="J321" s="17"/>
      <c r="K321" s="17"/>
    </row>
    <row r="322" spans="1:11" s="239" customFormat="1" ht="3.45" customHeight="1">
      <c r="A322" s="17"/>
      <c r="B322" s="17"/>
      <c r="C322" s="23"/>
      <c r="D322" s="21"/>
      <c r="E322" s="19"/>
      <c r="F322" s="17"/>
      <c r="G322" s="17"/>
      <c r="H322" s="20"/>
      <c r="I322" s="17"/>
      <c r="J322" s="17"/>
      <c r="K322" s="17"/>
    </row>
    <row r="323" spans="1:11" s="239" customFormat="1" ht="13" customHeight="1">
      <c r="A323" s="17"/>
      <c r="B323" s="17"/>
      <c r="C323" s="25" t="s">
        <v>548</v>
      </c>
      <c r="D323" s="26">
        <f>INDEX(Tragwerk!G99:I99,1,MATCH(Eingabe!$C$4,Tragwerk!$G$14:$I$14))</f>
        <v>0.79534738120454884</v>
      </c>
      <c r="E323" s="520" t="s">
        <v>7</v>
      </c>
      <c r="F323" s="27"/>
      <c r="G323" s="27" t="s">
        <v>1324</v>
      </c>
      <c r="H323" s="20"/>
      <c r="I323" s="17"/>
      <c r="J323" s="17"/>
      <c r="K323" s="17"/>
    </row>
    <row r="324" spans="1:11" s="239" customFormat="1" ht="6.8" customHeight="1">
      <c r="A324" s="17"/>
      <c r="B324" s="17"/>
      <c r="C324" s="23"/>
      <c r="D324" s="18"/>
      <c r="E324" s="19"/>
      <c r="F324" s="17"/>
      <c r="G324" s="527"/>
      <c r="H324" s="20"/>
      <c r="I324" s="17"/>
      <c r="J324" s="17"/>
      <c r="K324" s="17"/>
    </row>
    <row r="325" spans="1:11" s="239" customFormat="1" ht="14.15" customHeight="1">
      <c r="A325" s="1033" t="s">
        <v>299</v>
      </c>
      <c r="B325" s="1033"/>
      <c r="C325" s="1033"/>
      <c r="D325" s="1033"/>
      <c r="E325" s="1033"/>
      <c r="F325" s="1033"/>
      <c r="G325" s="1033"/>
      <c r="H325" s="1033"/>
      <c r="I325" s="1033"/>
      <c r="J325" s="1033"/>
      <c r="K325" s="502"/>
    </row>
    <row r="326" spans="1:11" s="239" customFormat="1" ht="5.9" customHeight="1">
      <c r="A326" s="4"/>
      <c r="B326" s="240"/>
      <c r="C326" s="240"/>
      <c r="D326" s="240"/>
      <c r="E326" s="240"/>
      <c r="F326" s="240"/>
      <c r="G326" s="240"/>
      <c r="H326" s="240"/>
      <c r="I326" s="240"/>
      <c r="J326" s="240"/>
      <c r="K326" s="4"/>
    </row>
    <row r="327" spans="1:11" s="239" customFormat="1" ht="13" customHeight="1">
      <c r="A327" s="1032" t="s">
        <v>514</v>
      </c>
      <c r="B327" s="1032"/>
      <c r="C327" s="1032"/>
      <c r="D327" s="1032"/>
      <c r="E327" s="1032"/>
      <c r="F327" s="1032"/>
      <c r="G327" s="1032"/>
      <c r="H327" s="1032"/>
      <c r="I327" s="1032"/>
      <c r="J327" s="1032"/>
      <c r="K327" s="520"/>
    </row>
    <row r="328" spans="1:11" s="239" customFormat="1" ht="13" customHeight="1">
      <c r="A328" s="17"/>
      <c r="B328" s="14" t="s">
        <v>1</v>
      </c>
      <c r="C328" s="232"/>
      <c r="D328" s="232"/>
      <c r="E328" s="232"/>
      <c r="F328" s="17"/>
      <c r="G328" s="527"/>
      <c r="H328" s="527"/>
      <c r="I328" s="527"/>
      <c r="J328" s="527"/>
      <c r="K328" s="17"/>
    </row>
    <row r="329" spans="1:11" s="239" customFormat="1" ht="13" customHeight="1">
      <c r="A329" s="17"/>
      <c r="B329" s="17"/>
      <c r="C329" s="527" t="s">
        <v>4</v>
      </c>
      <c r="D329" s="21">
        <f>INDEX(Kappe!G17:I17,1,MATCH(Eingabe!$C$4,Kappe!$G$12:$I$12))</f>
        <v>247</v>
      </c>
      <c r="E329" s="19" t="s">
        <v>2</v>
      </c>
      <c r="F329" s="17"/>
      <c r="G329" s="527" t="s">
        <v>361</v>
      </c>
      <c r="H329" s="527"/>
      <c r="I329" s="527"/>
      <c r="J329" s="527"/>
      <c r="K329" s="17"/>
    </row>
    <row r="330" spans="1:11" s="239" customFormat="1" ht="13" customHeight="1">
      <c r="A330" s="17"/>
      <c r="B330" s="17"/>
      <c r="C330" s="17" t="s">
        <v>3</v>
      </c>
      <c r="D330" s="21">
        <f>Kappe!$G$18</f>
        <v>1.87</v>
      </c>
      <c r="E330" s="19" t="s">
        <v>7</v>
      </c>
      <c r="F330" s="17"/>
      <c r="G330" s="527" t="s">
        <v>359</v>
      </c>
      <c r="H330" s="527"/>
      <c r="I330" s="527"/>
      <c r="J330" s="527"/>
      <c r="K330" s="17"/>
    </row>
    <row r="331" spans="1:11" s="239" customFormat="1" ht="13" customHeight="1">
      <c r="A331" s="17"/>
      <c r="B331" s="17"/>
      <c r="C331" s="527" t="s">
        <v>64</v>
      </c>
      <c r="D331" s="21">
        <f>INDEX(Kappe!G19:I19,1,MATCH(Eingabe!$C$4,Kappe!$G$12:$I$12))</f>
        <v>132.08556149732618</v>
      </c>
      <c r="E331" s="19" t="s">
        <v>2</v>
      </c>
      <c r="F331" s="17"/>
      <c r="G331" s="527" t="s">
        <v>73</v>
      </c>
      <c r="H331" s="527"/>
      <c r="I331" s="527"/>
      <c r="J331" s="527"/>
      <c r="K331" s="17"/>
    </row>
    <row r="332" spans="1:11" s="239" customFormat="1" ht="13" customHeight="1">
      <c r="A332" s="17"/>
      <c r="B332" s="17"/>
      <c r="C332" s="527" t="s">
        <v>302</v>
      </c>
      <c r="D332" s="21">
        <f>Kappe!$G$53</f>
        <v>3.3432704953967556</v>
      </c>
      <c r="E332" s="19" t="s">
        <v>2</v>
      </c>
      <c r="F332" s="17"/>
      <c r="G332" s="527" t="s">
        <v>75</v>
      </c>
      <c r="H332" s="527"/>
      <c r="I332" s="527"/>
      <c r="J332" s="527"/>
      <c r="K332" s="17"/>
    </row>
    <row r="333" spans="1:11" s="239" customFormat="1" ht="13" customHeight="1">
      <c r="A333" s="17"/>
      <c r="B333" s="17"/>
      <c r="C333" s="25" t="s">
        <v>88</v>
      </c>
      <c r="D333" s="26">
        <f>D332/D331</f>
        <v>2.5311400106849936E-2</v>
      </c>
      <c r="E333" s="520" t="s">
        <v>7</v>
      </c>
      <c r="F333" s="27"/>
      <c r="G333" s="24" t="s">
        <v>46</v>
      </c>
      <c r="H333" s="527"/>
      <c r="I333" s="527"/>
      <c r="J333" s="527"/>
      <c r="K333" s="17"/>
    </row>
    <row r="334" spans="1:11" s="239" customFormat="1" ht="5.9" customHeight="1">
      <c r="A334" s="4"/>
      <c r="B334" s="240"/>
      <c r="C334" s="240"/>
      <c r="D334" s="240"/>
      <c r="E334" s="240"/>
      <c r="F334" s="240"/>
      <c r="G334" s="240"/>
      <c r="H334" s="240"/>
      <c r="I334" s="240"/>
      <c r="J334" s="240"/>
      <c r="K334" s="4"/>
    </row>
    <row r="335" spans="1:11" s="239" customFormat="1" ht="13" customHeight="1">
      <c r="A335" s="17"/>
      <c r="B335" s="233" t="s">
        <v>5</v>
      </c>
      <c r="C335" s="19"/>
      <c r="D335" s="19"/>
      <c r="E335" s="17"/>
      <c r="F335" s="17"/>
      <c r="G335" s="527"/>
      <c r="H335" s="527"/>
      <c r="I335" s="527"/>
      <c r="J335" s="527"/>
      <c r="K335" s="17"/>
    </row>
    <row r="336" spans="1:11" s="239" customFormat="1" ht="13" customHeight="1">
      <c r="A336" s="17"/>
      <c r="B336" s="233"/>
      <c r="C336" s="234" t="s">
        <v>115</v>
      </c>
      <c r="D336" s="18">
        <f>INDEX(Kappe!G21:I21,1,MATCH(Eingabe!$C$4,Kappe!$G$12:$I$12))</f>
        <v>565</v>
      </c>
      <c r="E336" s="19" t="s">
        <v>16</v>
      </c>
      <c r="F336" s="17"/>
      <c r="G336" s="528" t="s">
        <v>137</v>
      </c>
      <c r="H336" s="527"/>
      <c r="I336" s="527"/>
      <c r="J336" s="527"/>
      <c r="K336" s="17"/>
    </row>
    <row r="337" spans="1:11" s="239" customFormat="1" ht="13" customHeight="1">
      <c r="A337" s="17"/>
      <c r="B337" s="233"/>
      <c r="C337" s="666" t="s">
        <v>1152</v>
      </c>
      <c r="D337" s="669">
        <f>Eingabe!N3</f>
        <v>1</v>
      </c>
      <c r="E337" s="19" t="s">
        <v>7</v>
      </c>
      <c r="F337" s="17"/>
      <c r="G337" s="527" t="s">
        <v>1151</v>
      </c>
      <c r="H337" s="527"/>
      <c r="I337" s="527"/>
      <c r="J337" s="527"/>
      <c r="K337" s="17"/>
    </row>
    <row r="338" spans="1:11" s="239" customFormat="1" ht="13" customHeight="1">
      <c r="A338" s="17"/>
      <c r="B338" s="233"/>
      <c r="C338" s="234" t="s">
        <v>6</v>
      </c>
      <c r="D338" s="21">
        <f>INDEX(Kappe!G22:I22,1,MATCH(Eingabe!$C$4,Kappe!$G$12:$I$12))</f>
        <v>101.7</v>
      </c>
      <c r="E338" s="19" t="s">
        <v>2</v>
      </c>
      <c r="F338" s="17"/>
      <c r="G338" s="527" t="s">
        <v>1324</v>
      </c>
      <c r="H338" s="527"/>
      <c r="I338" s="527"/>
      <c r="J338" s="527"/>
      <c r="K338" s="17"/>
    </row>
    <row r="339" spans="1:11" s="239" customFormat="1" ht="13" customHeight="1">
      <c r="A339" s="17"/>
      <c r="B339" s="233"/>
      <c r="C339" s="234" t="s">
        <v>108</v>
      </c>
      <c r="D339" s="18">
        <f>Kappe!G23</f>
        <v>1.2</v>
      </c>
      <c r="E339" s="19" t="s">
        <v>7</v>
      </c>
      <c r="F339" s="17"/>
      <c r="G339" s="527" t="s">
        <v>1324</v>
      </c>
      <c r="H339" s="527"/>
      <c r="I339" s="527"/>
      <c r="J339" s="527"/>
      <c r="K339" s="17"/>
    </row>
    <row r="340" spans="1:11" s="239" customFormat="1" ht="13" customHeight="1">
      <c r="A340" s="17"/>
      <c r="B340" s="233"/>
      <c r="C340" s="234" t="s">
        <v>123</v>
      </c>
      <c r="D340" s="21">
        <f>INDEX(Kappe!G24:I24,1,MATCH(Eingabe!$C$4,Kappe!$G$12:$I$12))</f>
        <v>84.75</v>
      </c>
      <c r="E340" s="19" t="s">
        <v>2</v>
      </c>
      <c r="F340" s="17"/>
      <c r="G340" s="527" t="s">
        <v>73</v>
      </c>
      <c r="H340" s="527"/>
      <c r="I340" s="527"/>
      <c r="J340" s="527"/>
      <c r="K340" s="17"/>
    </row>
    <row r="341" spans="1:11" s="239" customFormat="1" ht="13" customHeight="1">
      <c r="A341" s="17"/>
      <c r="B341" s="233"/>
      <c r="C341" s="527" t="s">
        <v>302</v>
      </c>
      <c r="D341" s="21">
        <f>Kappe!$G$53</f>
        <v>3.3432704953967556</v>
      </c>
      <c r="E341" s="19" t="s">
        <v>2</v>
      </c>
      <c r="F341" s="17"/>
      <c r="G341" s="527" t="s">
        <v>75</v>
      </c>
      <c r="H341" s="527"/>
      <c r="I341" s="527"/>
      <c r="J341" s="527"/>
      <c r="K341" s="17"/>
    </row>
    <row r="342" spans="1:11" s="239" customFormat="1" ht="13" customHeight="1">
      <c r="A342" s="17"/>
      <c r="B342" s="233"/>
      <c r="C342" s="25" t="s">
        <v>122</v>
      </c>
      <c r="D342" s="26">
        <f>D341/D340</f>
        <v>3.9448619414710978E-2</v>
      </c>
      <c r="E342" s="520" t="s">
        <v>7</v>
      </c>
      <c r="F342" s="27"/>
      <c r="G342" s="24" t="s">
        <v>46</v>
      </c>
      <c r="H342" s="527"/>
      <c r="I342" s="527"/>
      <c r="J342" s="527"/>
      <c r="K342" s="17"/>
    </row>
    <row r="343" spans="1:11" s="239" customFormat="1" ht="5.9" customHeight="1">
      <c r="A343" s="4"/>
      <c r="B343" s="240"/>
      <c r="C343" s="240"/>
      <c r="D343" s="240"/>
      <c r="E343" s="240"/>
      <c r="F343" s="240"/>
      <c r="G343" s="240"/>
      <c r="H343" s="240"/>
      <c r="I343" s="240"/>
      <c r="J343" s="240"/>
      <c r="K343" s="4"/>
    </row>
    <row r="344" spans="1:11" s="239" customFormat="1" ht="13" customHeight="1">
      <c r="A344" s="17"/>
      <c r="B344" s="233" t="s">
        <v>8</v>
      </c>
      <c r="C344" s="19"/>
      <c r="D344" s="19"/>
      <c r="E344" s="17"/>
      <c r="F344" s="17"/>
      <c r="G344" s="527"/>
      <c r="H344" s="527"/>
      <c r="I344" s="527"/>
      <c r="J344" s="527"/>
      <c r="K344" s="17"/>
    </row>
    <row r="345" spans="1:11" s="239" customFormat="1" ht="14.15" customHeight="1">
      <c r="A345" s="17"/>
      <c r="B345" s="17"/>
      <c r="C345" s="527" t="s">
        <v>78</v>
      </c>
      <c r="D345" s="21">
        <f>INDEX(Kappe!G27:I27,1,MATCH(Eingabe!$C$4,Kappe!$G$12:$I$12))</f>
        <v>30.846077222233625</v>
      </c>
      <c r="E345" s="19" t="s">
        <v>2</v>
      </c>
      <c r="F345" s="17"/>
      <c r="G345" s="527" t="s">
        <v>1324</v>
      </c>
      <c r="H345" s="527"/>
      <c r="I345" s="527"/>
      <c r="J345" s="527"/>
      <c r="K345" s="17"/>
    </row>
    <row r="346" spans="1:11" s="239" customFormat="1" ht="14.15" customHeight="1">
      <c r="A346" s="17"/>
      <c r="B346" s="17"/>
      <c r="C346" s="527" t="s">
        <v>79</v>
      </c>
      <c r="D346" s="20">
        <f>INDEX(Kappe!G28:I28,1,MATCH(Eingabe!$C$4,Kappe!$G$12:$I$12))</f>
        <v>51984</v>
      </c>
      <c r="E346" s="19" t="s">
        <v>16</v>
      </c>
      <c r="F346" s="17"/>
      <c r="G346" s="527" t="s">
        <v>1324</v>
      </c>
      <c r="H346" s="527"/>
      <c r="I346" s="527"/>
      <c r="J346" s="527"/>
      <c r="K346" s="17"/>
    </row>
    <row r="347" spans="1:11" s="239" customFormat="1" ht="13" customHeight="1">
      <c r="A347" s="17"/>
      <c r="B347" s="17"/>
      <c r="C347" s="527" t="s">
        <v>80</v>
      </c>
      <c r="D347" s="20">
        <f>INDEX(Kappe!G29:I29,1,MATCH(Eingabe!$C$4,Kappe!$G$12:$I$12))</f>
        <v>69168</v>
      </c>
      <c r="E347" s="19" t="s">
        <v>16</v>
      </c>
      <c r="F347" s="17"/>
      <c r="G347" s="527" t="s">
        <v>1324</v>
      </c>
      <c r="H347" s="527"/>
      <c r="I347" s="527"/>
      <c r="J347" s="527"/>
      <c r="K347" s="17"/>
    </row>
    <row r="348" spans="1:11" s="239" customFormat="1" ht="13" customHeight="1">
      <c r="A348" s="17"/>
      <c r="B348" s="17"/>
      <c r="C348" s="527" t="s">
        <v>10</v>
      </c>
      <c r="D348" s="18">
        <f>Kappe!$G$26</f>
        <v>8.5</v>
      </c>
      <c r="E348" s="19" t="s">
        <v>7</v>
      </c>
      <c r="F348" s="17"/>
      <c r="G348" s="527" t="s">
        <v>1324</v>
      </c>
      <c r="H348" s="527"/>
      <c r="I348" s="527"/>
      <c r="J348" s="527"/>
      <c r="K348" s="17"/>
    </row>
    <row r="349" spans="1:11" s="239" customFormat="1" ht="13" customHeight="1">
      <c r="A349" s="17"/>
      <c r="B349" s="17"/>
      <c r="C349" s="23" t="s">
        <v>81</v>
      </c>
      <c r="D349" s="21">
        <f>INDEX(Kappe!G30:I30,1,MATCH(Eingabe!$C$4,Kappe!$G$12:$I$12))</f>
        <v>1</v>
      </c>
      <c r="E349" s="19" t="s">
        <v>7</v>
      </c>
      <c r="F349" s="17"/>
      <c r="G349" s="527" t="s">
        <v>1324</v>
      </c>
      <c r="H349" s="527"/>
      <c r="I349" s="527"/>
      <c r="J349" s="527"/>
      <c r="K349" s="17"/>
    </row>
    <row r="350" spans="1:11" s="239" customFormat="1" ht="13" customHeight="1">
      <c r="A350" s="17"/>
      <c r="B350" s="17"/>
      <c r="C350" s="23" t="s">
        <v>82</v>
      </c>
      <c r="D350" s="21">
        <f>INDEX(Kappe!G31:I31,1,MATCH(Eingabe!$C$4,Kappe!$G$12:$I$12))</f>
        <v>1</v>
      </c>
      <c r="E350" s="19" t="s">
        <v>7</v>
      </c>
      <c r="F350" s="17"/>
      <c r="G350" s="527" t="s">
        <v>1324</v>
      </c>
      <c r="H350" s="527"/>
      <c r="I350" s="527"/>
      <c r="J350" s="527"/>
      <c r="K350" s="17"/>
    </row>
    <row r="351" spans="1:11" s="239" customFormat="1" ht="13" customHeight="1">
      <c r="A351" s="17"/>
      <c r="B351" s="17"/>
      <c r="C351" s="23" t="s">
        <v>83</v>
      </c>
      <c r="D351" s="21">
        <f>INDEX(Kappe!G32:I32,1,MATCH(Eingabe!$C$4,Kappe!$G$12:$I$12))</f>
        <v>1</v>
      </c>
      <c r="E351" s="19" t="s">
        <v>7</v>
      </c>
      <c r="F351" s="17"/>
      <c r="G351" s="527" t="s">
        <v>1324</v>
      </c>
      <c r="H351" s="527"/>
      <c r="I351" s="527"/>
      <c r="J351" s="527"/>
      <c r="K351" s="17"/>
    </row>
    <row r="352" spans="1:11" s="239" customFormat="1" ht="13" customHeight="1">
      <c r="A352" s="17"/>
      <c r="B352" s="17"/>
      <c r="C352" s="23" t="s">
        <v>84</v>
      </c>
      <c r="D352" s="21">
        <f>INDEX(Kappe!G33:I33,1,MATCH(Eingabe!$C$4,Kappe!$G$12:$I$12))</f>
        <v>1</v>
      </c>
      <c r="E352" s="19" t="s">
        <v>7</v>
      </c>
      <c r="F352" s="17"/>
      <c r="G352" s="527" t="s">
        <v>1324</v>
      </c>
      <c r="H352" s="527"/>
      <c r="I352" s="527"/>
      <c r="J352" s="527"/>
      <c r="K352" s="17"/>
    </row>
    <row r="353" spans="1:11" s="239" customFormat="1" ht="13" customHeight="1">
      <c r="A353" s="17"/>
      <c r="B353" s="17"/>
      <c r="C353" s="666" t="s">
        <v>1152</v>
      </c>
      <c r="D353" s="669">
        <f>Eingabe!N3</f>
        <v>1</v>
      </c>
      <c r="E353" s="19" t="s">
        <v>7</v>
      </c>
      <c r="F353" s="17"/>
      <c r="G353" s="527" t="s">
        <v>1151</v>
      </c>
      <c r="H353" s="527"/>
      <c r="I353" s="527"/>
      <c r="J353" s="527"/>
      <c r="K353" s="17"/>
    </row>
    <row r="354" spans="1:11" s="239" customFormat="1" ht="13" customHeight="1">
      <c r="A354" s="17"/>
      <c r="B354" s="17"/>
      <c r="C354" s="527" t="s">
        <v>77</v>
      </c>
      <c r="D354" s="21">
        <f>INDEX(Kappe!G34:I34,1,MATCH(Eingabe!$C$4,Kappe!$G$12:$I$12))</f>
        <v>41.042656765686658</v>
      </c>
      <c r="E354" s="19" t="s">
        <v>2</v>
      </c>
      <c r="F354" s="17"/>
      <c r="G354" s="527" t="s">
        <v>1324</v>
      </c>
      <c r="H354" s="527"/>
      <c r="I354" s="527"/>
      <c r="J354" s="527"/>
      <c r="K354" s="17"/>
    </row>
    <row r="355" spans="1:11" s="239" customFormat="1" ht="13" customHeight="1">
      <c r="A355" s="17"/>
      <c r="B355" s="17"/>
      <c r="C355" s="17" t="s">
        <v>12</v>
      </c>
      <c r="D355" s="21">
        <f>Kappe!$G$35</f>
        <v>1.2</v>
      </c>
      <c r="E355" s="19" t="s">
        <v>7</v>
      </c>
      <c r="F355" s="17"/>
      <c r="G355" s="527" t="s">
        <v>1324</v>
      </c>
      <c r="H355" s="527"/>
      <c r="I355" s="527"/>
      <c r="J355" s="527"/>
      <c r="K355" s="17"/>
    </row>
    <row r="356" spans="1:11" s="239" customFormat="1" ht="13" customHeight="1">
      <c r="A356" s="17"/>
      <c r="B356" s="17"/>
      <c r="C356" s="527" t="s">
        <v>71</v>
      </c>
      <c r="D356" s="21">
        <f>INDEX(Kappe!G36:I36,1,MATCH(Eingabe!$C$4,Kappe!$G$12:$I$12))</f>
        <v>34.202213971405548</v>
      </c>
      <c r="E356" s="19" t="s">
        <v>2</v>
      </c>
      <c r="F356" s="17"/>
      <c r="G356" s="527" t="s">
        <v>73</v>
      </c>
      <c r="H356" s="527"/>
      <c r="I356" s="527"/>
      <c r="J356" s="527"/>
      <c r="K356" s="17"/>
    </row>
    <row r="357" spans="1:11" s="239" customFormat="1" ht="13" customHeight="1">
      <c r="A357" s="17"/>
      <c r="B357" s="17"/>
      <c r="C357" s="527" t="s">
        <v>302</v>
      </c>
      <c r="D357" s="21">
        <f>Kappe!$G$53</f>
        <v>3.3432704953967556</v>
      </c>
      <c r="E357" s="19" t="s">
        <v>2</v>
      </c>
      <c r="F357" s="17"/>
      <c r="G357" s="527" t="s">
        <v>75</v>
      </c>
      <c r="H357" s="527"/>
      <c r="I357" s="527"/>
      <c r="J357" s="527"/>
      <c r="K357" s="17"/>
    </row>
    <row r="358" spans="1:11" s="239" customFormat="1" ht="13" customHeight="1">
      <c r="A358" s="17"/>
      <c r="B358" s="17"/>
      <c r="C358" s="25" t="s">
        <v>89</v>
      </c>
      <c r="D358" s="26">
        <f>D357/D356</f>
        <v>9.7750119281513961E-2</v>
      </c>
      <c r="E358" s="520" t="s">
        <v>7</v>
      </c>
      <c r="F358" s="27"/>
      <c r="G358" s="24" t="s">
        <v>46</v>
      </c>
      <c r="H358" s="527"/>
      <c r="I358" s="527"/>
      <c r="J358" s="527"/>
      <c r="K358" s="17"/>
    </row>
    <row r="359" spans="1:11" s="239" customFormat="1" ht="5.9" customHeight="1">
      <c r="A359" s="4"/>
      <c r="B359" s="240"/>
      <c r="C359" s="240"/>
      <c r="D359" s="240"/>
      <c r="E359" s="240"/>
      <c r="F359" s="240"/>
      <c r="G359" s="240"/>
      <c r="H359" s="240"/>
      <c r="I359" s="240"/>
      <c r="J359" s="240"/>
      <c r="K359" s="4"/>
    </row>
    <row r="360" spans="1:11" s="239" customFormat="1" ht="13" customHeight="1">
      <c r="A360" s="1032" t="s">
        <v>513</v>
      </c>
      <c r="B360" s="1032"/>
      <c r="C360" s="1032"/>
      <c r="D360" s="1032"/>
      <c r="E360" s="1032"/>
      <c r="F360" s="1032"/>
      <c r="G360" s="1032"/>
      <c r="H360" s="1032"/>
      <c r="I360" s="1032"/>
      <c r="J360" s="1032"/>
      <c r="K360" s="520"/>
    </row>
    <row r="361" spans="1:11" s="239" customFormat="1" ht="13" customHeight="1">
      <c r="A361" s="527"/>
      <c r="B361" s="235" t="s">
        <v>120</v>
      </c>
      <c r="C361" s="236"/>
      <c r="D361" s="527"/>
      <c r="E361" s="527"/>
      <c r="F361" s="527"/>
      <c r="G361" s="527"/>
      <c r="H361" s="527"/>
      <c r="I361" s="527"/>
      <c r="J361" s="527"/>
      <c r="K361" s="527"/>
    </row>
    <row r="362" spans="1:11" s="239" customFormat="1" ht="13" customHeight="1">
      <c r="A362" s="527"/>
      <c r="B362" s="17"/>
      <c r="C362" s="527" t="s">
        <v>118</v>
      </c>
      <c r="D362" s="21">
        <f>INDEX(Kappe!G58:I58,1,MATCH(Eingabe!$C$4,Kappe!$G$12:$I$12))</f>
        <v>766.1052395160159</v>
      </c>
      <c r="E362" s="19" t="s">
        <v>119</v>
      </c>
      <c r="F362" s="17"/>
      <c r="G362" s="527" t="s">
        <v>1555</v>
      </c>
      <c r="H362" s="527"/>
      <c r="I362" s="527"/>
      <c r="J362" s="527"/>
      <c r="K362" s="527"/>
    </row>
    <row r="363" spans="1:11" s="239" customFormat="1" ht="13" customHeight="1">
      <c r="A363" s="527"/>
      <c r="B363" s="17"/>
      <c r="C363" s="17" t="s">
        <v>3</v>
      </c>
      <c r="D363" s="21">
        <f>Kappe!$G$59</f>
        <v>1.56</v>
      </c>
      <c r="E363" s="19" t="s">
        <v>7</v>
      </c>
      <c r="F363" s="17"/>
      <c r="G363" s="527" t="s">
        <v>359</v>
      </c>
      <c r="H363" s="527"/>
      <c r="I363" s="527"/>
      <c r="J363" s="527"/>
      <c r="K363" s="527"/>
    </row>
    <row r="364" spans="1:11" s="239" customFormat="1" ht="13" customHeight="1">
      <c r="A364" s="527"/>
      <c r="B364" s="17"/>
      <c r="C364" s="527" t="s">
        <v>65</v>
      </c>
      <c r="D364" s="21">
        <f>INDEX(Kappe!G60:I60,1,MATCH(Eingabe!$C$4,Kappe!$G$12:$I$12))</f>
        <v>30.693318890866021</v>
      </c>
      <c r="E364" s="19" t="s">
        <v>2</v>
      </c>
      <c r="F364" s="17"/>
      <c r="G364" s="527" t="s">
        <v>73</v>
      </c>
      <c r="H364" s="14"/>
      <c r="I364" s="14"/>
      <c r="J364" s="14"/>
      <c r="K364" s="17"/>
    </row>
    <row r="365" spans="1:11" s="239" customFormat="1" ht="13" customHeight="1">
      <c r="A365" s="527"/>
      <c r="B365" s="17"/>
      <c r="C365" s="527" t="s">
        <v>303</v>
      </c>
      <c r="D365" s="21">
        <f>Kappe!$G$61</f>
        <v>27.194109375</v>
      </c>
      <c r="E365" s="19" t="s">
        <v>2</v>
      </c>
      <c r="F365" s="17"/>
      <c r="G365" s="527" t="s">
        <v>75</v>
      </c>
      <c r="H365" s="527"/>
      <c r="I365" s="18"/>
      <c r="J365" s="17"/>
      <c r="K365" s="17"/>
    </row>
    <row r="366" spans="1:11" s="239" customFormat="1" ht="13" customHeight="1">
      <c r="A366" s="527"/>
      <c r="B366" s="17"/>
      <c r="C366" s="25" t="s">
        <v>90</v>
      </c>
      <c r="D366" s="26">
        <f>D365/D364</f>
        <v>0.88599442346694723</v>
      </c>
      <c r="E366" s="520" t="s">
        <v>7</v>
      </c>
      <c r="F366" s="27"/>
      <c r="G366" s="24" t="s">
        <v>46</v>
      </c>
      <c r="H366" s="527"/>
      <c r="I366" s="18"/>
      <c r="J366" s="17"/>
      <c r="K366" s="17"/>
    </row>
    <row r="367" spans="1:11" s="239" customFormat="1" ht="5.9" customHeight="1">
      <c r="A367" s="4"/>
      <c r="B367" s="240"/>
      <c r="C367" s="240"/>
      <c r="D367" s="240"/>
      <c r="E367" s="240"/>
      <c r="F367" s="240"/>
      <c r="G367" s="240"/>
      <c r="H367" s="240"/>
      <c r="I367" s="240"/>
      <c r="J367" s="240"/>
      <c r="K367" s="4"/>
    </row>
    <row r="368" spans="1:11" s="239" customFormat="1" ht="13" customHeight="1">
      <c r="A368" s="527"/>
      <c r="B368" s="238" t="s">
        <v>9</v>
      </c>
      <c r="C368" s="17"/>
      <c r="D368" s="17"/>
      <c r="E368" s="17"/>
      <c r="F368" s="527"/>
      <c r="G368" s="527"/>
      <c r="H368" s="527"/>
      <c r="I368" s="18"/>
      <c r="J368" s="17"/>
      <c r="K368" s="17"/>
    </row>
    <row r="369" spans="1:11" s="239" customFormat="1" ht="13" customHeight="1">
      <c r="A369" s="527"/>
      <c r="B369" s="17"/>
      <c r="C369" s="4" t="s">
        <v>10</v>
      </c>
      <c r="D369" s="18">
        <f>Kappe!$G$64</f>
        <v>2</v>
      </c>
      <c r="E369" s="19" t="s">
        <v>7</v>
      </c>
      <c r="F369" s="17"/>
      <c r="G369" s="527" t="s">
        <v>1324</v>
      </c>
      <c r="H369" s="527"/>
      <c r="I369" s="18"/>
      <c r="J369" s="17"/>
      <c r="K369" s="17"/>
    </row>
    <row r="370" spans="1:11" s="239" customFormat="1" ht="13" customHeight="1">
      <c r="A370" s="17"/>
      <c r="B370" s="17"/>
      <c r="C370" s="527" t="s">
        <v>18</v>
      </c>
      <c r="D370" s="21">
        <f>INDEX(Kappe!G65:I65,1,MATCH(Eingabe!$C$4,Kappe!$G$12:$I$12))</f>
        <v>82.085313531373316</v>
      </c>
      <c r="E370" s="237" t="s">
        <v>2</v>
      </c>
      <c r="F370" s="17"/>
      <c r="G370" s="527" t="s">
        <v>1324</v>
      </c>
      <c r="H370" s="17"/>
      <c r="I370" s="17"/>
      <c r="J370" s="17"/>
      <c r="K370" s="17"/>
    </row>
    <row r="371" spans="1:11" s="239" customFormat="1" ht="13" customHeight="1">
      <c r="A371" s="17"/>
      <c r="B371" s="17"/>
      <c r="C371" s="17" t="s">
        <v>12</v>
      </c>
      <c r="D371" s="21">
        <f>Kappe!$G$66</f>
        <v>1.2</v>
      </c>
      <c r="E371" s="19" t="s">
        <v>7</v>
      </c>
      <c r="F371" s="17"/>
      <c r="G371" s="527" t="s">
        <v>1324</v>
      </c>
      <c r="H371" s="17"/>
      <c r="I371" s="17"/>
      <c r="J371" s="17"/>
      <c r="K371" s="17"/>
    </row>
    <row r="372" spans="1:11" s="239" customFormat="1" ht="13" customHeight="1">
      <c r="A372" s="17"/>
      <c r="B372" s="17"/>
      <c r="C372" s="17" t="s">
        <v>72</v>
      </c>
      <c r="D372" s="21">
        <f>INDEX(Kappe!G67:I67,1,MATCH(Eingabe!$C$4,Kappe!$G$12:$I$12))</f>
        <v>68.404427942811097</v>
      </c>
      <c r="E372" s="19" t="s">
        <v>2</v>
      </c>
      <c r="F372" s="17"/>
      <c r="G372" s="527" t="s">
        <v>73</v>
      </c>
      <c r="H372" s="17"/>
      <c r="I372" s="17"/>
      <c r="J372" s="17"/>
      <c r="K372" s="17"/>
    </row>
    <row r="373" spans="1:11" s="239" customFormat="1" ht="13" customHeight="1">
      <c r="A373" s="17"/>
      <c r="B373" s="17"/>
      <c r="C373" s="527" t="s">
        <v>303</v>
      </c>
      <c r="D373" s="21">
        <f>Kappe!$G$84</f>
        <v>54.38821875</v>
      </c>
      <c r="E373" s="19" t="s">
        <v>2</v>
      </c>
      <c r="F373" s="17"/>
      <c r="G373" s="527" t="s">
        <v>75</v>
      </c>
      <c r="H373" s="17"/>
      <c r="I373" s="17"/>
      <c r="J373" s="17"/>
      <c r="K373" s="17"/>
    </row>
    <row r="374" spans="1:11" s="239" customFormat="1" ht="13" customHeight="1">
      <c r="A374" s="17"/>
      <c r="B374" s="17"/>
      <c r="C374" s="25" t="s">
        <v>91</v>
      </c>
      <c r="D374" s="26">
        <f>D373/D372</f>
        <v>0.79509792546574287</v>
      </c>
      <c r="E374" s="520" t="s">
        <v>7</v>
      </c>
      <c r="F374" s="27"/>
      <c r="G374" s="24" t="s">
        <v>46</v>
      </c>
      <c r="H374" s="17"/>
      <c r="I374" s="17"/>
      <c r="J374" s="17"/>
      <c r="K374" s="17"/>
    </row>
    <row r="375" spans="1:11" s="239" customFormat="1" ht="5.9" customHeight="1">
      <c r="A375" s="17"/>
      <c r="B375" s="17"/>
      <c r="C375" s="23"/>
      <c r="D375" s="18"/>
      <c r="E375" s="19"/>
      <c r="F375" s="17"/>
      <c r="G375" s="527"/>
      <c r="H375" s="20"/>
      <c r="I375" s="17"/>
      <c r="J375" s="17"/>
      <c r="K375" s="17"/>
    </row>
    <row r="376" spans="1:11" s="239" customFormat="1" ht="13" customHeight="1">
      <c r="A376" s="1032" t="s">
        <v>517</v>
      </c>
      <c r="B376" s="1032"/>
      <c r="C376" s="1032"/>
      <c r="D376" s="1032"/>
      <c r="E376" s="1032"/>
      <c r="F376" s="1032"/>
      <c r="G376" s="1032"/>
      <c r="H376" s="1032"/>
      <c r="I376" s="1032"/>
      <c r="J376" s="1032"/>
      <c r="K376" s="17"/>
    </row>
    <row r="377" spans="1:11" s="239" customFormat="1" ht="5.9" customHeight="1">
      <c r="A377" s="17"/>
      <c r="B377" s="17"/>
      <c r="C377" s="23"/>
      <c r="D377" s="18"/>
      <c r="E377" s="19"/>
      <c r="F377" s="17"/>
      <c r="G377" s="527"/>
      <c r="H377" s="20"/>
      <c r="I377" s="17"/>
      <c r="J377" s="17"/>
      <c r="K377" s="17"/>
    </row>
    <row r="378" spans="1:11" s="239" customFormat="1" ht="13" customHeight="1">
      <c r="A378" s="17"/>
      <c r="B378" s="17"/>
      <c r="C378" s="23" t="s">
        <v>85</v>
      </c>
      <c r="D378" s="21">
        <f>INDEX(Kappe!G89:I89,1,MATCH(Eingabe!$C$4,Kappe!$G$12:$I$12))</f>
        <v>9.7750119281513961E-2</v>
      </c>
      <c r="E378" s="19" t="s">
        <v>7</v>
      </c>
      <c r="F378" s="17"/>
      <c r="G378" s="527" t="s">
        <v>515</v>
      </c>
      <c r="H378" s="20"/>
      <c r="I378" s="17"/>
      <c r="J378" s="17"/>
      <c r="K378" s="17"/>
    </row>
    <row r="379" spans="1:11" s="239" customFormat="1" ht="13" customHeight="1">
      <c r="A379" s="17"/>
      <c r="B379" s="17"/>
      <c r="C379" s="23" t="s">
        <v>87</v>
      </c>
      <c r="D379" s="21">
        <f>INDEX(Kappe!G90:I90,1,MATCH(Eingabe!$C$4,Kappe!$G$12:$I$12))</f>
        <v>0.88599442346694723</v>
      </c>
      <c r="E379" s="19" t="s">
        <v>7</v>
      </c>
      <c r="F379" s="17"/>
      <c r="G379" s="527" t="s">
        <v>519</v>
      </c>
      <c r="H379" s="20"/>
      <c r="I379" s="17"/>
      <c r="J379" s="17"/>
      <c r="K379" s="17"/>
    </row>
    <row r="380" spans="1:11" s="239" customFormat="1" ht="2.2999999999999998" customHeight="1">
      <c r="A380" s="17"/>
      <c r="B380" s="17"/>
      <c r="C380" s="23"/>
      <c r="D380" s="21"/>
      <c r="E380" s="19"/>
      <c r="F380" s="17"/>
      <c r="G380" s="527"/>
      <c r="H380" s="20"/>
      <c r="I380" s="17"/>
      <c r="J380" s="17"/>
      <c r="K380" s="17"/>
    </row>
    <row r="381" spans="1:11" s="239" customFormat="1" ht="13" customHeight="1">
      <c r="A381" s="17"/>
      <c r="B381" s="17"/>
      <c r="C381" s="25" t="s">
        <v>548</v>
      </c>
      <c r="D381" s="26">
        <f>INDEX(Kappe!G92:I92,1,MATCH(Eingabe!$C$4,Kappe!$G$12:$I$12))</f>
        <v>0.81978711895705103</v>
      </c>
      <c r="E381" s="520" t="s">
        <v>7</v>
      </c>
      <c r="F381" s="27"/>
      <c r="G381" s="24" t="s">
        <v>1324</v>
      </c>
      <c r="H381" s="20"/>
      <c r="I381" s="17"/>
      <c r="J381" s="17"/>
      <c r="K381" s="17"/>
    </row>
    <row r="382" spans="1:11" s="239" customFormat="1" ht="5.9" customHeight="1">
      <c r="A382" s="17"/>
      <c r="B382" s="17"/>
      <c r="C382" s="23"/>
      <c r="D382" s="21"/>
      <c r="E382" s="19"/>
      <c r="F382" s="17"/>
      <c r="G382" s="17"/>
      <c r="H382" s="20"/>
      <c r="I382" s="17"/>
      <c r="J382" s="17"/>
      <c r="K382" s="17"/>
    </row>
    <row r="383" spans="1:11" s="239" customFormat="1" ht="14.15" customHeight="1">
      <c r="A383" s="1033" t="s">
        <v>1158</v>
      </c>
      <c r="B383" s="1033"/>
      <c r="C383" s="1033"/>
      <c r="D383" s="1033"/>
      <c r="E383" s="1033"/>
      <c r="F383" s="1033"/>
      <c r="G383" s="1033"/>
      <c r="H383" s="1033"/>
      <c r="I383" s="1033"/>
      <c r="J383" s="1033"/>
      <c r="K383" s="502"/>
    </row>
    <row r="384" spans="1:11" s="239" customFormat="1" ht="6.8" customHeight="1">
      <c r="A384" s="4"/>
      <c r="B384" s="240"/>
      <c r="C384" s="240"/>
      <c r="D384" s="240"/>
      <c r="E384" s="240"/>
      <c r="F384" s="240"/>
      <c r="G384" s="240"/>
      <c r="H384" s="240"/>
      <c r="I384" s="240"/>
      <c r="J384" s="240"/>
      <c r="K384" s="4"/>
    </row>
    <row r="385" spans="1:11" s="239" customFormat="1" ht="13" customHeight="1">
      <c r="A385" s="1032" t="s">
        <v>514</v>
      </c>
      <c r="B385" s="1032"/>
      <c r="C385" s="1032"/>
      <c r="D385" s="1032"/>
      <c r="E385" s="1032"/>
      <c r="F385" s="1032"/>
      <c r="G385" s="1032"/>
      <c r="H385" s="1032"/>
      <c r="I385" s="1032"/>
      <c r="J385" s="1032"/>
      <c r="K385" s="520"/>
    </row>
    <row r="386" spans="1:11" s="239" customFormat="1" ht="13" customHeight="1">
      <c r="A386" s="17"/>
      <c r="B386" s="14" t="s">
        <v>1</v>
      </c>
      <c r="C386" s="232"/>
      <c r="D386" s="232"/>
      <c r="E386" s="232"/>
      <c r="F386" s="17"/>
      <c r="G386" s="527"/>
      <c r="H386" s="527"/>
      <c r="I386" s="527"/>
      <c r="J386" s="527"/>
      <c r="K386" s="17"/>
    </row>
    <row r="387" spans="1:11" s="239" customFormat="1" ht="13" customHeight="1">
      <c r="A387" s="17"/>
      <c r="B387" s="17"/>
      <c r="C387" s="527" t="s">
        <v>4</v>
      </c>
      <c r="D387" s="21">
        <f>INDEX(Tragwerk!$M$23:$O$23,1,MATCH(Eingabe!$C$4,Tragwerk!$M$14:$O$14))</f>
        <v>247</v>
      </c>
      <c r="E387" s="19" t="s">
        <v>2</v>
      </c>
      <c r="F387" s="17"/>
      <c r="G387" s="527" t="s">
        <v>361</v>
      </c>
      <c r="H387" s="527"/>
      <c r="I387" s="527"/>
      <c r="J387" s="527"/>
      <c r="K387" s="17"/>
    </row>
    <row r="388" spans="1:11" s="239" customFormat="1" ht="13" customHeight="1">
      <c r="A388" s="17"/>
      <c r="B388" s="17"/>
      <c r="C388" s="17" t="s">
        <v>3</v>
      </c>
      <c r="D388" s="21">
        <f>Tragwerk!$M$24</f>
        <v>1.87</v>
      </c>
      <c r="E388" s="19" t="s">
        <v>7</v>
      </c>
      <c r="F388" s="17"/>
      <c r="G388" s="527" t="s">
        <v>359</v>
      </c>
      <c r="H388" s="527"/>
      <c r="I388" s="527"/>
      <c r="J388" s="527"/>
      <c r="K388" s="17"/>
    </row>
    <row r="389" spans="1:11" s="239" customFormat="1" ht="13" customHeight="1">
      <c r="A389" s="17"/>
      <c r="B389" s="17"/>
      <c r="C389" s="527" t="s">
        <v>64</v>
      </c>
      <c r="D389" s="21">
        <f>INDEX(Tragwerk!M25:O25,1,MATCH(Eingabe!C4,Tragwerk!M14:O14))</f>
        <v>132.08556149732618</v>
      </c>
      <c r="E389" s="19" t="s">
        <v>2</v>
      </c>
      <c r="F389" s="17"/>
      <c r="G389" s="527" t="s">
        <v>73</v>
      </c>
      <c r="H389" s="527"/>
      <c r="I389" s="527"/>
      <c r="J389" s="527"/>
      <c r="K389" s="17"/>
    </row>
    <row r="390" spans="1:11" s="239" customFormat="1" ht="13" customHeight="1">
      <c r="A390" s="17"/>
      <c r="B390" s="17"/>
      <c r="C390" s="527" t="s">
        <v>305</v>
      </c>
      <c r="D390" s="21">
        <f>Tragwerk!$M$60</f>
        <v>4.7057430951337125</v>
      </c>
      <c r="E390" s="19" t="s">
        <v>2</v>
      </c>
      <c r="F390" s="17"/>
      <c r="G390" s="527" t="s">
        <v>75</v>
      </c>
      <c r="H390" s="527"/>
      <c r="I390" s="527"/>
      <c r="J390" s="527"/>
      <c r="K390" s="17"/>
    </row>
    <row r="391" spans="1:11" s="239" customFormat="1" ht="13" customHeight="1">
      <c r="A391" s="17"/>
      <c r="B391" s="17"/>
      <c r="C391" s="25" t="s">
        <v>88</v>
      </c>
      <c r="D391" s="26">
        <f>D390/D389</f>
        <v>3.5626476064372643E-2</v>
      </c>
      <c r="E391" s="520" t="s">
        <v>7</v>
      </c>
      <c r="F391" s="27"/>
      <c r="G391" s="24" t="s">
        <v>46</v>
      </c>
      <c r="H391" s="527"/>
      <c r="I391" s="527"/>
      <c r="J391" s="527"/>
      <c r="K391" s="17"/>
    </row>
    <row r="392" spans="1:11" s="239" customFormat="1" ht="6.8" customHeight="1">
      <c r="A392" s="4"/>
      <c r="B392" s="240"/>
      <c r="C392" s="240"/>
      <c r="D392" s="240"/>
      <c r="E392" s="240"/>
      <c r="F392" s="240"/>
      <c r="G392" s="240"/>
      <c r="H392" s="240"/>
      <c r="I392" s="240"/>
      <c r="J392" s="240"/>
      <c r="K392" s="4"/>
    </row>
    <row r="393" spans="1:11" s="239" customFormat="1" ht="13" customHeight="1">
      <c r="A393" s="17"/>
      <c r="B393" s="233" t="s">
        <v>132</v>
      </c>
      <c r="C393" s="19"/>
      <c r="D393" s="19"/>
      <c r="E393" s="17"/>
      <c r="F393" s="17"/>
      <c r="G393" s="527"/>
      <c r="H393" s="527"/>
      <c r="I393" s="527"/>
      <c r="J393" s="527"/>
      <c r="K393" s="17"/>
    </row>
    <row r="394" spans="1:11" s="239" customFormat="1" ht="14.15" customHeight="1">
      <c r="A394" s="17"/>
      <c r="B394" s="233"/>
      <c r="C394" s="527" t="s">
        <v>128</v>
      </c>
      <c r="D394" s="21">
        <f>INDEX(Tragwerk!$M$27:$O$27,1,MATCH(Eingabe!$C$4,Tragwerk!$M$14:$O$14))</f>
        <v>84.446010528493645</v>
      </c>
      <c r="E394" s="19" t="s">
        <v>2</v>
      </c>
      <c r="F394" s="17"/>
      <c r="G394" s="527" t="s">
        <v>361</v>
      </c>
      <c r="H394" s="527"/>
      <c r="I394" s="527"/>
      <c r="J394" s="527"/>
      <c r="K394" s="17"/>
    </row>
    <row r="395" spans="1:11" s="239" customFormat="1" ht="13" customHeight="1">
      <c r="A395" s="17"/>
      <c r="B395" s="233"/>
      <c r="C395" s="234" t="s">
        <v>129</v>
      </c>
      <c r="D395" s="21">
        <f>INDEX(Tragwerk!$M$28:$O$28,1,MATCH(Eingabe!$C$4,Tragwerk!$M$14:$O$14))</f>
        <v>420</v>
      </c>
      <c r="E395" s="19" t="s">
        <v>0</v>
      </c>
      <c r="F395" s="17"/>
      <c r="G395" s="527" t="s">
        <v>1559</v>
      </c>
      <c r="H395" s="527"/>
      <c r="I395" s="527"/>
      <c r="J395" s="527"/>
      <c r="K395" s="17"/>
    </row>
    <row r="396" spans="1:11" s="239" customFormat="1" ht="14.25" customHeight="1">
      <c r="A396" s="17"/>
      <c r="B396" s="233"/>
      <c r="C396" s="234" t="s">
        <v>130</v>
      </c>
      <c r="D396" s="20">
        <f>INDEX(Tragwerk!$M$29:$O$29,1,MATCH(Eingabe!$C$4,Tragwerk!$M$14:$O$14))</f>
        <v>176400</v>
      </c>
      <c r="E396" s="19" t="s">
        <v>16</v>
      </c>
      <c r="F396" s="17"/>
      <c r="G396" s="527" t="s">
        <v>1554</v>
      </c>
      <c r="H396" s="527"/>
      <c r="I396" s="527"/>
      <c r="J396" s="527"/>
      <c r="K396" s="17"/>
    </row>
    <row r="397" spans="1:11" s="239" customFormat="1" ht="13" customHeight="1">
      <c r="A397" s="17"/>
      <c r="B397" s="233"/>
      <c r="C397" s="234" t="s">
        <v>131</v>
      </c>
      <c r="D397" s="20">
        <f>INDEX(Tragwerk!$M$30:$O$30,1,MATCH(Eingabe!$C$4,Tragwerk!$M$14:$O$14))</f>
        <v>142800</v>
      </c>
      <c r="E397" s="19" t="s">
        <v>16</v>
      </c>
      <c r="F397" s="17"/>
      <c r="G397" s="527" t="s">
        <v>1554</v>
      </c>
      <c r="H397" s="527"/>
      <c r="I397" s="527"/>
      <c r="J397" s="527"/>
      <c r="K397" s="17"/>
    </row>
    <row r="398" spans="1:11" s="239" customFormat="1" ht="13" customHeight="1">
      <c r="A398" s="17"/>
      <c r="B398" s="233"/>
      <c r="C398" s="234" t="s">
        <v>133</v>
      </c>
      <c r="D398" s="18">
        <f>INDEX(Tragwerk!$M$31:$O$31,1,MATCH(Eingabe!$C$4,Tragwerk!$M$14:$O$14))</f>
        <v>1</v>
      </c>
      <c r="E398" s="19" t="s">
        <v>7</v>
      </c>
      <c r="F398" s="17"/>
      <c r="G398" s="527" t="s">
        <v>1324</v>
      </c>
      <c r="H398" s="527"/>
      <c r="I398" s="527"/>
      <c r="J398" s="527"/>
      <c r="K398" s="17"/>
    </row>
    <row r="399" spans="1:11" s="239" customFormat="1" ht="13" customHeight="1">
      <c r="A399" s="17"/>
      <c r="B399" s="233"/>
      <c r="C399" s="234" t="s">
        <v>104</v>
      </c>
      <c r="D399" s="18">
        <f>INDEX(Tragwerk!$M$32:$O$32,1,MATCH(Eingabe!$C$4,Tragwerk!$M$14:$O$14))</f>
        <v>1</v>
      </c>
      <c r="E399" s="19" t="s">
        <v>7</v>
      </c>
      <c r="F399" s="17"/>
      <c r="G399" s="527" t="s">
        <v>1324</v>
      </c>
      <c r="H399" s="527"/>
      <c r="I399" s="527"/>
      <c r="J399" s="527"/>
      <c r="K399" s="17"/>
    </row>
    <row r="400" spans="1:11" s="239" customFormat="1" ht="13" customHeight="1">
      <c r="A400" s="17"/>
      <c r="B400" s="233"/>
      <c r="C400" s="234" t="s">
        <v>110</v>
      </c>
      <c r="D400" s="19">
        <f>INDEX(Tragwerk!$M$33:$O$33,1,MATCH(Eingabe!$C$4,Tragwerk!$M$14:$O$14))</f>
        <v>1.04</v>
      </c>
      <c r="E400" s="19" t="s">
        <v>7</v>
      </c>
      <c r="F400" s="17"/>
      <c r="G400" s="527" t="s">
        <v>360</v>
      </c>
      <c r="H400" s="527"/>
      <c r="I400" s="527"/>
      <c r="J400" s="527"/>
      <c r="K400" s="17"/>
    </row>
    <row r="401" spans="1:11" s="239" customFormat="1" ht="13" customHeight="1">
      <c r="A401" s="17"/>
      <c r="B401" s="233"/>
      <c r="C401" s="234" t="s">
        <v>111</v>
      </c>
      <c r="D401" s="19">
        <f>INDEX(Tragwerk!$M$34:$O$34,1,MATCH(Eingabe!$C$4,Tragwerk!$M$14:$O$14))</f>
        <v>1.07</v>
      </c>
      <c r="E401" s="19" t="s">
        <v>7</v>
      </c>
      <c r="F401" s="17"/>
      <c r="G401" s="527" t="s">
        <v>360</v>
      </c>
      <c r="H401" s="527"/>
      <c r="I401" s="527"/>
      <c r="J401" s="527"/>
      <c r="K401" s="17"/>
    </row>
    <row r="402" spans="1:11" s="239" customFormat="1" ht="13" customHeight="1">
      <c r="A402" s="17"/>
      <c r="B402" s="233"/>
      <c r="C402" s="234" t="s">
        <v>112</v>
      </c>
      <c r="D402" s="19">
        <f>INDEX(Tragwerk!$M$35:$O$35,1,MATCH(Eingabe!$C$4,Tragwerk!$M$14:$O$14))</f>
        <v>1.0900000000000001</v>
      </c>
      <c r="E402" s="19" t="s">
        <v>7</v>
      </c>
      <c r="F402" s="17"/>
      <c r="G402" s="527" t="s">
        <v>360</v>
      </c>
      <c r="H402" s="527"/>
      <c r="I402" s="527"/>
      <c r="J402" s="527"/>
      <c r="K402" s="17"/>
    </row>
    <row r="403" spans="1:11" s="239" customFormat="1" ht="13" customHeight="1">
      <c r="A403" s="17"/>
      <c r="B403" s="233"/>
      <c r="C403" s="234" t="s">
        <v>108</v>
      </c>
      <c r="D403" s="21">
        <f>Tragwerk!$M$38</f>
        <v>1.2</v>
      </c>
      <c r="E403" s="19" t="s">
        <v>7</v>
      </c>
      <c r="F403" s="17"/>
      <c r="G403" s="527" t="s">
        <v>1324</v>
      </c>
      <c r="H403" s="527"/>
      <c r="I403" s="527"/>
      <c r="J403" s="527"/>
      <c r="K403" s="17"/>
    </row>
    <row r="404" spans="1:11" s="239" customFormat="1" ht="13" customHeight="1">
      <c r="A404" s="17"/>
      <c r="B404" s="233"/>
      <c r="C404" s="234" t="s">
        <v>123</v>
      </c>
      <c r="D404" s="21">
        <f>INDEX(Tragwerk!M39:O39,1,MATCH(Eingabe!C4,Tragwerk!M14:O14))</f>
        <v>59.246248656498729</v>
      </c>
      <c r="E404" s="19" t="s">
        <v>2</v>
      </c>
      <c r="F404" s="17"/>
      <c r="G404" s="527" t="s">
        <v>73</v>
      </c>
      <c r="H404" s="527"/>
      <c r="I404" s="527"/>
      <c r="J404" s="527"/>
      <c r="K404" s="17"/>
    </row>
    <row r="405" spans="1:11" s="239" customFormat="1" ht="13" customHeight="1">
      <c r="A405" s="17"/>
      <c r="B405" s="233"/>
      <c r="C405" s="527" t="s">
        <v>306</v>
      </c>
      <c r="D405" s="21">
        <f>Tragwerk!$M$60</f>
        <v>4.7057430951337125</v>
      </c>
      <c r="E405" s="19" t="s">
        <v>2</v>
      </c>
      <c r="F405" s="17"/>
      <c r="G405" s="527" t="s">
        <v>75</v>
      </c>
      <c r="H405" s="527"/>
      <c r="I405" s="527"/>
      <c r="J405" s="527"/>
      <c r="K405" s="17"/>
    </row>
    <row r="406" spans="1:11" s="239" customFormat="1" ht="13" customHeight="1">
      <c r="A406" s="17"/>
      <c r="B406" s="233"/>
      <c r="C406" s="25" t="s">
        <v>122</v>
      </c>
      <c r="D406" s="26">
        <f>D405/D404</f>
        <v>7.9426853207482176E-2</v>
      </c>
      <c r="E406" s="520" t="s">
        <v>7</v>
      </c>
      <c r="F406" s="27"/>
      <c r="G406" s="24" t="s">
        <v>46</v>
      </c>
      <c r="H406" s="527"/>
      <c r="I406" s="527"/>
      <c r="J406" s="527"/>
      <c r="K406" s="17"/>
    </row>
    <row r="407" spans="1:11" s="239" customFormat="1" ht="6.8" customHeight="1">
      <c r="A407" s="4"/>
      <c r="B407" s="240"/>
      <c r="C407" s="240"/>
      <c r="D407" s="240"/>
      <c r="E407" s="240"/>
      <c r="F407" s="240"/>
      <c r="G407" s="240"/>
      <c r="H407" s="240"/>
      <c r="I407" s="240"/>
      <c r="J407" s="240"/>
      <c r="K407" s="4"/>
    </row>
    <row r="408" spans="1:11" s="239" customFormat="1" ht="13" customHeight="1">
      <c r="A408" s="17"/>
      <c r="B408" s="233" t="s">
        <v>8</v>
      </c>
      <c r="C408" s="19"/>
      <c r="D408" s="19"/>
      <c r="E408" s="17"/>
      <c r="F408" s="17"/>
      <c r="G408" s="527"/>
      <c r="H408" s="527"/>
      <c r="I408" s="527"/>
      <c r="J408" s="527"/>
      <c r="K408" s="17"/>
    </row>
    <row r="409" spans="1:11" s="239" customFormat="1" ht="14.15" customHeight="1">
      <c r="A409" s="17"/>
      <c r="B409" s="17"/>
      <c r="C409" s="527" t="s">
        <v>78</v>
      </c>
      <c r="D409" s="21">
        <f>INDEX(Tragwerk!M41:O41,1,MATCH(Eingabe!$C$4,Tragwerk!$M$14:$O$14))</f>
        <v>80.007519646593167</v>
      </c>
      <c r="E409" s="19" t="s">
        <v>2</v>
      </c>
      <c r="F409" s="17"/>
      <c r="G409" s="527" t="s">
        <v>1324</v>
      </c>
      <c r="H409" s="527"/>
      <c r="I409" s="527"/>
      <c r="J409" s="527"/>
      <c r="K409" s="17"/>
    </row>
    <row r="410" spans="1:11" s="239" customFormat="1" ht="14.25" customHeight="1">
      <c r="A410" s="17"/>
      <c r="B410" s="17"/>
      <c r="C410" s="527" t="s">
        <v>79</v>
      </c>
      <c r="D410" s="19">
        <f>INDEX(Tragwerk!M42:O42,1,MATCH(Eingabe!$C$4,Tragwerk!$M$14:$O$14))</f>
        <v>176400</v>
      </c>
      <c r="E410" s="19" t="s">
        <v>16</v>
      </c>
      <c r="F410" s="17"/>
      <c r="G410" s="527" t="s">
        <v>1324</v>
      </c>
      <c r="H410" s="527"/>
      <c r="I410" s="527"/>
      <c r="J410" s="527"/>
      <c r="K410" s="17"/>
    </row>
    <row r="411" spans="1:11" s="239" customFormat="1" ht="13" customHeight="1">
      <c r="A411" s="17"/>
      <c r="B411" s="17"/>
      <c r="C411" s="527" t="s">
        <v>80</v>
      </c>
      <c r="D411" s="19">
        <f>INDEX(Tragwerk!M43:O43,1,MATCH(Eingabe!$C$4,Tragwerk!$M$14:$O$14))</f>
        <v>142800</v>
      </c>
      <c r="E411" s="19" t="s">
        <v>16</v>
      </c>
      <c r="F411" s="17"/>
      <c r="G411" s="527" t="s">
        <v>1324</v>
      </c>
      <c r="H411" s="527"/>
      <c r="I411" s="527"/>
      <c r="J411" s="527"/>
      <c r="K411" s="17"/>
    </row>
    <row r="412" spans="1:11" s="239" customFormat="1" ht="13" customHeight="1">
      <c r="A412" s="17"/>
      <c r="B412" s="17"/>
      <c r="C412" s="23" t="s">
        <v>81</v>
      </c>
      <c r="D412" s="21">
        <f>INDEX(Tragwerk!M44:O44,1,MATCH(Eingabe!$C$4,Tragwerk!$M$14:$O$14))</f>
        <v>1</v>
      </c>
      <c r="E412" s="19" t="s">
        <v>7</v>
      </c>
      <c r="F412" s="17"/>
      <c r="G412" s="527" t="s">
        <v>1324</v>
      </c>
      <c r="H412" s="527"/>
      <c r="I412" s="527"/>
      <c r="J412" s="527"/>
      <c r="K412" s="17"/>
    </row>
    <row r="413" spans="1:11" s="239" customFormat="1" ht="13" customHeight="1">
      <c r="A413" s="17"/>
      <c r="B413" s="17"/>
      <c r="C413" s="23" t="s">
        <v>82</v>
      </c>
      <c r="D413" s="21">
        <f>INDEX(Tragwerk!M45:O45,1,MATCH(Eingabe!$C$4,Tragwerk!$M$14:$O$14))</f>
        <v>1</v>
      </c>
      <c r="E413" s="19" t="s">
        <v>7</v>
      </c>
      <c r="F413" s="17"/>
      <c r="G413" s="527" t="s">
        <v>1324</v>
      </c>
      <c r="H413" s="527"/>
      <c r="I413" s="527"/>
      <c r="J413" s="527"/>
      <c r="K413" s="17"/>
    </row>
    <row r="414" spans="1:11" s="239" customFormat="1" ht="13" customHeight="1">
      <c r="A414" s="17"/>
      <c r="B414" s="17"/>
      <c r="C414" s="23" t="s">
        <v>83</v>
      </c>
      <c r="D414" s="21">
        <f>INDEX(Tragwerk!M46:O46,1,MATCH(Eingabe!$C$4,Tragwerk!$M$14:$O$14))</f>
        <v>1</v>
      </c>
      <c r="E414" s="19" t="s">
        <v>7</v>
      </c>
      <c r="F414" s="17"/>
      <c r="G414" s="527" t="s">
        <v>1324</v>
      </c>
      <c r="H414" s="527"/>
      <c r="I414" s="527"/>
      <c r="J414" s="527"/>
      <c r="K414" s="17"/>
    </row>
    <row r="415" spans="1:11" s="239" customFormat="1" ht="13" customHeight="1">
      <c r="A415" s="17"/>
      <c r="B415" s="17"/>
      <c r="C415" s="527" t="s">
        <v>77</v>
      </c>
      <c r="D415" s="21">
        <f>INDEX(Tragwerk!M48:O48,1,MATCH(Eingabe!$C$4,Tragwerk!$M$14:$O$14))</f>
        <v>64.767992094861128</v>
      </c>
      <c r="E415" s="19" t="s">
        <v>2</v>
      </c>
      <c r="F415" s="17"/>
      <c r="G415" s="527" t="s">
        <v>1324</v>
      </c>
      <c r="H415" s="527"/>
      <c r="I415" s="527"/>
      <c r="J415" s="527"/>
      <c r="K415" s="17"/>
    </row>
    <row r="416" spans="1:11" s="239" customFormat="1" ht="13" customHeight="1">
      <c r="A416" s="17"/>
      <c r="B416" s="17"/>
      <c r="C416" s="17" t="s">
        <v>12</v>
      </c>
      <c r="D416" s="21">
        <f>Tragwerk!$M$49</f>
        <v>1.2</v>
      </c>
      <c r="E416" s="19" t="s">
        <v>7</v>
      </c>
      <c r="F416" s="17"/>
      <c r="G416" s="527" t="s">
        <v>1324</v>
      </c>
      <c r="H416" s="527"/>
      <c r="I416" s="527"/>
      <c r="J416" s="527"/>
      <c r="K416" s="17"/>
    </row>
    <row r="417" spans="1:13" s="239" customFormat="1" ht="13" customHeight="1">
      <c r="A417" s="17"/>
      <c r="B417" s="17"/>
      <c r="C417" s="527" t="s">
        <v>71</v>
      </c>
      <c r="D417" s="21">
        <f>D415/D416</f>
        <v>53.973326745717607</v>
      </c>
      <c r="E417" s="19" t="s">
        <v>2</v>
      </c>
      <c r="F417" s="17"/>
      <c r="G417" s="527" t="s">
        <v>73</v>
      </c>
      <c r="H417" s="527"/>
      <c r="I417" s="527"/>
      <c r="J417" s="527"/>
      <c r="K417" s="17"/>
    </row>
    <row r="418" spans="1:13" s="239" customFormat="1" ht="13" customHeight="1">
      <c r="A418" s="17"/>
      <c r="B418" s="17"/>
      <c r="C418" s="527" t="s">
        <v>306</v>
      </c>
      <c r="D418" s="21">
        <f>Tragwerk!$M$60</f>
        <v>4.7057430951337125</v>
      </c>
      <c r="E418" s="19" t="s">
        <v>2</v>
      </c>
      <c r="F418" s="17"/>
      <c r="G418" s="527" t="s">
        <v>75</v>
      </c>
      <c r="H418" s="527"/>
      <c r="I418" s="527"/>
      <c r="J418" s="527"/>
      <c r="K418" s="17"/>
    </row>
    <row r="419" spans="1:13" s="239" customFormat="1" ht="13" customHeight="1">
      <c r="A419" s="17"/>
      <c r="B419" s="17"/>
      <c r="C419" s="25" t="s">
        <v>89</v>
      </c>
      <c r="D419" s="26">
        <f>D418/D417</f>
        <v>8.7186456326912978E-2</v>
      </c>
      <c r="E419" s="520" t="s">
        <v>7</v>
      </c>
      <c r="F419" s="27"/>
      <c r="G419" s="24" t="s">
        <v>46</v>
      </c>
      <c r="H419" s="527"/>
      <c r="I419" s="527"/>
      <c r="J419" s="527"/>
      <c r="K419" s="17"/>
      <c r="L419" s="17"/>
      <c r="M419" s="17"/>
    </row>
    <row r="420" spans="1:13" s="239" customFormat="1" ht="6.8" customHeight="1">
      <c r="A420" s="4"/>
      <c r="B420" s="240"/>
      <c r="C420" s="240"/>
      <c r="D420" s="240"/>
      <c r="E420" s="240"/>
      <c r="F420" s="240"/>
      <c r="G420" s="240"/>
      <c r="H420" s="240"/>
      <c r="I420" s="240"/>
      <c r="J420" s="240"/>
      <c r="K420" s="4"/>
      <c r="L420" s="17"/>
      <c r="M420" s="17"/>
    </row>
    <row r="421" spans="1:13" s="239" customFormat="1" ht="13" customHeight="1">
      <c r="A421" s="1032" t="s">
        <v>513</v>
      </c>
      <c r="B421" s="1032"/>
      <c r="C421" s="1032"/>
      <c r="D421" s="1032"/>
      <c r="E421" s="1032"/>
      <c r="F421" s="1032"/>
      <c r="G421" s="1032"/>
      <c r="H421" s="1032"/>
      <c r="I421" s="1032"/>
      <c r="J421" s="1032"/>
      <c r="K421" s="520"/>
    </row>
    <row r="422" spans="1:13" s="239" customFormat="1" ht="13" customHeight="1">
      <c r="A422" s="527"/>
      <c r="B422" s="235" t="s">
        <v>120</v>
      </c>
      <c r="C422" s="236"/>
      <c r="D422" s="527"/>
      <c r="E422" s="527"/>
      <c r="F422" s="527"/>
      <c r="G422" s="527"/>
      <c r="H422" s="527"/>
      <c r="I422" s="527"/>
      <c r="J422" s="527"/>
      <c r="K422" s="527"/>
    </row>
    <row r="423" spans="1:13" s="239" customFormat="1" ht="13" customHeight="1">
      <c r="A423" s="527"/>
      <c r="B423" s="17"/>
      <c r="C423" s="527" t="s">
        <v>118</v>
      </c>
      <c r="D423" s="21">
        <f>INDEX(Tragwerk!M65:O65,1,MATCH(Eingabe!$C$4,Tragwerk!$M$14:$O$14))</f>
        <v>757.99758981340312</v>
      </c>
      <c r="E423" s="19" t="s">
        <v>119</v>
      </c>
      <c r="F423" s="17"/>
      <c r="G423" s="527" t="s">
        <v>362</v>
      </c>
      <c r="H423" s="527"/>
      <c r="I423" s="527"/>
      <c r="J423" s="527"/>
      <c r="K423" s="527"/>
    </row>
    <row r="424" spans="1:13" s="239" customFormat="1" ht="13" customHeight="1">
      <c r="A424" s="527"/>
      <c r="B424" s="17"/>
      <c r="C424" s="17" t="s">
        <v>3</v>
      </c>
      <c r="D424" s="21">
        <f>Tragwerk!$M$66</f>
        <v>1.56</v>
      </c>
      <c r="E424" s="19" t="s">
        <v>7</v>
      </c>
      <c r="F424" s="17"/>
      <c r="G424" s="527" t="s">
        <v>359</v>
      </c>
      <c r="H424" s="527"/>
      <c r="I424" s="527"/>
      <c r="J424" s="527"/>
      <c r="K424" s="527"/>
    </row>
    <row r="425" spans="1:13" s="239" customFormat="1" ht="13" customHeight="1">
      <c r="A425" s="527"/>
      <c r="B425" s="17"/>
      <c r="C425" s="527" t="s">
        <v>65</v>
      </c>
      <c r="D425" s="21">
        <f>INDEX(Tragwerk!M67:O67,1,MATCH(Eingabe!$C$4,Tragwerk!$M$14:$O$14))</f>
        <v>30.368493181626725</v>
      </c>
      <c r="E425" s="19" t="s">
        <v>2</v>
      </c>
      <c r="F425" s="17"/>
      <c r="G425" s="527" t="s">
        <v>73</v>
      </c>
      <c r="H425" s="527"/>
      <c r="I425" s="527"/>
      <c r="J425" s="527"/>
      <c r="K425" s="527"/>
    </row>
    <row r="426" spans="1:13" s="239" customFormat="1" ht="13" customHeight="1">
      <c r="A426" s="527"/>
      <c r="B426" s="17"/>
      <c r="C426" s="527" t="s">
        <v>307</v>
      </c>
      <c r="D426" s="21">
        <f>Tragwerk!$M$68</f>
        <v>29.921271248249965</v>
      </c>
      <c r="E426" s="19" t="s">
        <v>2</v>
      </c>
      <c r="F426" s="17"/>
      <c r="G426" s="527" t="s">
        <v>75</v>
      </c>
      <c r="H426" s="527"/>
      <c r="I426" s="527"/>
      <c r="J426" s="527"/>
      <c r="K426" s="527"/>
    </row>
    <row r="427" spans="1:13" s="239" customFormat="1" ht="13" customHeight="1">
      <c r="A427" s="527"/>
      <c r="B427" s="17"/>
      <c r="C427" s="25" t="s">
        <v>90</v>
      </c>
      <c r="D427" s="26">
        <f>D426/D425</f>
        <v>0.98527348951092064</v>
      </c>
      <c r="E427" s="520" t="s">
        <v>7</v>
      </c>
      <c r="F427" s="27"/>
      <c r="G427" s="24" t="s">
        <v>46</v>
      </c>
      <c r="H427" s="527"/>
      <c r="I427" s="527"/>
      <c r="J427" s="527"/>
      <c r="K427" s="527"/>
    </row>
    <row r="428" spans="1:13" s="239" customFormat="1" ht="6.8" customHeight="1">
      <c r="A428" s="4"/>
      <c r="B428" s="240"/>
      <c r="C428" s="240"/>
      <c r="D428" s="240"/>
      <c r="E428" s="240"/>
      <c r="F428" s="240"/>
      <c r="G428" s="240"/>
      <c r="H428" s="240"/>
      <c r="I428" s="240"/>
      <c r="J428" s="240"/>
      <c r="K428" s="4"/>
    </row>
    <row r="429" spans="1:13" s="239" customFormat="1" ht="13" customHeight="1">
      <c r="A429" s="527"/>
      <c r="B429" s="238" t="s">
        <v>9</v>
      </c>
      <c r="C429" s="17"/>
      <c r="D429" s="17"/>
      <c r="E429" s="17"/>
      <c r="F429" s="527"/>
      <c r="G429" s="527"/>
      <c r="H429" s="527"/>
      <c r="I429" s="527"/>
      <c r="J429" s="527"/>
      <c r="K429" s="527"/>
    </row>
    <row r="430" spans="1:13" s="239" customFormat="1" ht="13" customHeight="1">
      <c r="A430" s="527"/>
      <c r="B430" s="17"/>
      <c r="C430" s="4" t="s">
        <v>10</v>
      </c>
      <c r="D430" s="18">
        <f>Tragwerk!$M$71</f>
        <v>2.5</v>
      </c>
      <c r="E430" s="19" t="s">
        <v>7</v>
      </c>
      <c r="F430" s="17"/>
      <c r="G430" s="17" t="s">
        <v>509</v>
      </c>
      <c r="H430" s="527"/>
      <c r="I430" s="527"/>
      <c r="J430" s="527"/>
      <c r="K430" s="527"/>
    </row>
    <row r="431" spans="1:13" s="239" customFormat="1" ht="13" customHeight="1">
      <c r="A431" s="17"/>
      <c r="B431" s="17"/>
      <c r="C431" s="527" t="s">
        <v>18</v>
      </c>
      <c r="D431" s="21">
        <f>INDEX(Tragwerk!M72:O72,1,MATCH(Eingabe!$C$4,Tragwerk!$M$14:$O$14))</f>
        <v>161.91998023715283</v>
      </c>
      <c r="E431" s="237" t="s">
        <v>2</v>
      </c>
      <c r="F431" s="17"/>
      <c r="G431" s="527" t="s">
        <v>1324</v>
      </c>
      <c r="H431" s="14"/>
      <c r="I431" s="14"/>
      <c r="J431" s="14"/>
      <c r="K431" s="17"/>
    </row>
    <row r="432" spans="1:13" s="239" customFormat="1" ht="13" customHeight="1">
      <c r="A432" s="17"/>
      <c r="B432" s="17"/>
      <c r="C432" s="17" t="s">
        <v>12</v>
      </c>
      <c r="D432" s="21">
        <f>Tragwerk!$M$73</f>
        <v>1.2</v>
      </c>
      <c r="E432" s="19" t="s">
        <v>7</v>
      </c>
      <c r="F432" s="17"/>
      <c r="G432" s="527" t="s">
        <v>1324</v>
      </c>
      <c r="H432" s="527"/>
      <c r="I432" s="18"/>
      <c r="J432" s="17"/>
      <c r="K432" s="17"/>
    </row>
    <row r="433" spans="1:11" s="239" customFormat="1" ht="13" customHeight="1">
      <c r="A433" s="17"/>
      <c r="B433" s="17"/>
      <c r="C433" s="17" t="s">
        <v>72</v>
      </c>
      <c r="D433" s="21">
        <f>INDEX(Tragwerk!M74:O74,1,MATCH(Eingabe!$C$4,Tragwerk!$M$14:$O$14))</f>
        <v>134.93331686429403</v>
      </c>
      <c r="E433" s="19" t="s">
        <v>2</v>
      </c>
      <c r="F433" s="17"/>
      <c r="G433" s="527" t="s">
        <v>73</v>
      </c>
      <c r="H433" s="527"/>
      <c r="I433" s="18"/>
      <c r="J433" s="17"/>
      <c r="K433" s="17"/>
    </row>
    <row r="434" spans="1:11" s="239" customFormat="1" ht="13" customHeight="1">
      <c r="A434" s="17"/>
      <c r="B434" s="17"/>
      <c r="C434" s="527" t="s">
        <v>307</v>
      </c>
      <c r="D434" s="21">
        <f>Tragwerk!$M$68</f>
        <v>29.921271248249965</v>
      </c>
      <c r="E434" s="19" t="s">
        <v>2</v>
      </c>
      <c r="F434" s="17"/>
      <c r="G434" s="527" t="s">
        <v>75</v>
      </c>
      <c r="H434" s="527"/>
      <c r="I434" s="18"/>
      <c r="J434" s="17"/>
      <c r="K434" s="17"/>
    </row>
    <row r="435" spans="1:11" s="239" customFormat="1" ht="13" customHeight="1">
      <c r="A435" s="17"/>
      <c r="B435" s="17"/>
      <c r="C435" s="25" t="s">
        <v>91</v>
      </c>
      <c r="D435" s="26">
        <f>D434/D433</f>
        <v>0.22174857880609702</v>
      </c>
      <c r="E435" s="520" t="s">
        <v>7</v>
      </c>
      <c r="F435" s="27"/>
      <c r="G435" s="24" t="s">
        <v>46</v>
      </c>
      <c r="H435" s="527"/>
      <c r="I435" s="18"/>
      <c r="J435" s="17"/>
      <c r="K435" s="17"/>
    </row>
    <row r="436" spans="1:11" s="239" customFormat="1" ht="6.8" customHeight="1">
      <c r="A436" s="17"/>
      <c r="B436" s="17"/>
      <c r="C436" s="25"/>
      <c r="D436" s="26"/>
      <c r="E436" s="520"/>
      <c r="F436" s="27"/>
      <c r="G436" s="24"/>
      <c r="H436" s="527"/>
      <c r="I436" s="18"/>
      <c r="J436" s="17"/>
      <c r="K436" s="17"/>
    </row>
    <row r="437" spans="1:11" s="239" customFormat="1" ht="13" customHeight="1">
      <c r="A437" s="17"/>
      <c r="B437" s="238" t="s">
        <v>11</v>
      </c>
      <c r="C437" s="25"/>
      <c r="D437" s="26"/>
      <c r="E437" s="520"/>
      <c r="F437" s="27"/>
      <c r="G437" s="24"/>
      <c r="H437" s="527"/>
      <c r="I437" s="18"/>
      <c r="J437" s="17"/>
      <c r="K437" s="17"/>
    </row>
    <row r="438" spans="1:11" s="239" customFormat="1" ht="13" customHeight="1">
      <c r="A438" s="17"/>
      <c r="B438" s="17"/>
      <c r="C438" s="234" t="s">
        <v>21</v>
      </c>
      <c r="D438" s="450">
        <f>INDEX(Tragwerk!M76:O76,1,MATCH(Eingabe!$C$4,Tragwerk!$B$14:$D$14))</f>
        <v>3.4156502553198659E-2</v>
      </c>
      <c r="E438" s="19" t="s">
        <v>7</v>
      </c>
      <c r="F438" s="27"/>
      <c r="G438" s="527" t="s">
        <v>1324</v>
      </c>
      <c r="H438" s="527"/>
      <c r="I438" s="18"/>
      <c r="J438" s="17"/>
      <c r="K438" s="17"/>
    </row>
    <row r="439" spans="1:11" s="239" customFormat="1" ht="13" customHeight="1">
      <c r="A439" s="17"/>
      <c r="B439" s="17"/>
      <c r="C439" s="234" t="s">
        <v>134</v>
      </c>
      <c r="D439" s="450">
        <f>INDEX(Tragwerk!M77:O77,1,MATCH(Eingabe!$C$4,Tragwerk!$B$14:$D$14))</f>
        <v>4.573050519273264E-2</v>
      </c>
      <c r="E439" s="19" t="s">
        <v>7</v>
      </c>
      <c r="F439" s="27"/>
      <c r="G439" s="527" t="s">
        <v>1324</v>
      </c>
      <c r="H439" s="527"/>
      <c r="I439" s="18"/>
      <c r="J439" s="17"/>
      <c r="K439" s="17"/>
    </row>
    <row r="440" spans="1:11" s="239" customFormat="1" ht="14.25" customHeight="1">
      <c r="A440" s="17"/>
      <c r="B440" s="17"/>
      <c r="C440" s="234" t="s">
        <v>481</v>
      </c>
      <c r="D440" s="21">
        <f>INDEX(Tragwerk!M78:O78,1,MATCH(Eingabe!$C$4,Tragwerk!$B$14:$D$14))</f>
        <v>662.3899818033774</v>
      </c>
      <c r="E440" s="237" t="s">
        <v>2</v>
      </c>
      <c r="F440" s="27"/>
      <c r="G440" s="527" t="s">
        <v>1324</v>
      </c>
      <c r="H440" s="527"/>
      <c r="I440" s="18"/>
      <c r="J440" s="17"/>
      <c r="K440" s="17"/>
    </row>
    <row r="441" spans="1:11" s="239" customFormat="1" ht="14.25" customHeight="1">
      <c r="A441" s="17"/>
      <c r="B441" s="17"/>
      <c r="C441" s="234" t="s">
        <v>482</v>
      </c>
      <c r="D441" s="20">
        <f>INDEX(Tragwerk!M79:O79,1,MATCH(Eingabe!$C$4,Tragwerk!$B$14:$D$14))</f>
        <v>6480000</v>
      </c>
      <c r="E441" s="19" t="s">
        <v>16</v>
      </c>
      <c r="F441" s="27"/>
      <c r="G441" s="527" t="s">
        <v>1324</v>
      </c>
      <c r="H441" s="527"/>
      <c r="I441" s="18"/>
      <c r="J441" s="17"/>
      <c r="K441" s="17"/>
    </row>
    <row r="442" spans="1:11" s="239" customFormat="1" ht="13" customHeight="1">
      <c r="A442" s="17"/>
      <c r="B442" s="17"/>
      <c r="C442" s="234" t="s">
        <v>483</v>
      </c>
      <c r="D442" s="20">
        <f>INDEX(Tragwerk!M80:O80,1,MATCH(Eingabe!$C$4,Tragwerk!$B$14:$D$14))</f>
        <v>720000</v>
      </c>
      <c r="E442" s="19" t="s">
        <v>16</v>
      </c>
      <c r="F442" s="27"/>
      <c r="G442" s="527" t="s">
        <v>1324</v>
      </c>
      <c r="H442" s="527"/>
      <c r="I442" s="18"/>
      <c r="J442" s="17"/>
      <c r="K442" s="17"/>
    </row>
    <row r="443" spans="1:11" s="239" customFormat="1" ht="13" customHeight="1">
      <c r="A443" s="17"/>
      <c r="B443" s="17"/>
      <c r="C443" s="234" t="s">
        <v>485</v>
      </c>
      <c r="D443" s="21">
        <f>INDEX(Tragwerk!M82:O82,1,MATCH(Eingabe!$C$4,Tragwerk!$B$14:$D$14))</f>
        <v>3</v>
      </c>
      <c r="E443" s="19" t="s">
        <v>7</v>
      </c>
      <c r="F443" s="27"/>
      <c r="G443" s="527" t="s">
        <v>1324</v>
      </c>
      <c r="H443" s="527"/>
      <c r="I443" s="18"/>
      <c r="J443" s="17"/>
      <c r="K443" s="17"/>
    </row>
    <row r="444" spans="1:11" s="239" customFormat="1" ht="13" customHeight="1">
      <c r="A444" s="17"/>
      <c r="B444" s="17"/>
      <c r="C444" s="234" t="s">
        <v>488</v>
      </c>
      <c r="D444" s="21">
        <f>Tragwerk!M85</f>
        <v>1.2</v>
      </c>
      <c r="E444" s="19" t="s">
        <v>7</v>
      </c>
      <c r="F444" s="27"/>
      <c r="G444" s="527" t="s">
        <v>1324</v>
      </c>
      <c r="H444" s="527"/>
      <c r="I444" s="18"/>
      <c r="J444" s="17"/>
      <c r="K444" s="17"/>
    </row>
    <row r="445" spans="1:11" s="239" customFormat="1" ht="13" customHeight="1">
      <c r="A445" s="17"/>
      <c r="B445" s="17"/>
      <c r="C445" s="234" t="s">
        <v>489</v>
      </c>
      <c r="D445" s="21">
        <f>INDEX(Tragwerk!M86:O86,1,MATCH(Eingabe!$C$4,Tragwerk!$B$14:$D$14))</f>
        <v>264.95599272135092</v>
      </c>
      <c r="E445" s="237" t="s">
        <v>2</v>
      </c>
      <c r="F445" s="27"/>
      <c r="G445" s="527" t="s">
        <v>1324</v>
      </c>
      <c r="H445" s="527"/>
      <c r="I445" s="18"/>
      <c r="J445" s="17"/>
      <c r="K445" s="17"/>
    </row>
    <row r="446" spans="1:11" s="239" customFormat="1" ht="13" customHeight="1">
      <c r="A446" s="17"/>
      <c r="B446" s="17"/>
      <c r="C446" s="234" t="s">
        <v>12</v>
      </c>
      <c r="D446" s="21">
        <f>Tragwerk!M87</f>
        <v>1.2</v>
      </c>
      <c r="E446" s="19" t="s">
        <v>7</v>
      </c>
      <c r="F446" s="27"/>
      <c r="G446" s="527" t="s">
        <v>1324</v>
      </c>
      <c r="H446" s="527"/>
      <c r="I446" s="18"/>
      <c r="J446" s="17"/>
      <c r="K446" s="17"/>
    </row>
    <row r="447" spans="1:11" s="239" customFormat="1" ht="13" customHeight="1">
      <c r="A447" s="17"/>
      <c r="B447" s="17"/>
      <c r="C447" s="234" t="s">
        <v>507</v>
      </c>
      <c r="D447" s="21">
        <f>INDEX(Tragwerk!M88:O88,1,MATCH(Eingabe!$C$4,Tragwerk!$B$14:$D$14))</f>
        <v>220.79666060112578</v>
      </c>
      <c r="E447" s="237" t="s">
        <v>2</v>
      </c>
      <c r="F447" s="27"/>
      <c r="G447" s="527" t="s">
        <v>73</v>
      </c>
      <c r="H447" s="527"/>
      <c r="I447" s="18"/>
      <c r="J447" s="17"/>
      <c r="K447" s="17"/>
    </row>
    <row r="448" spans="1:11" s="239" customFormat="1" ht="13" customHeight="1">
      <c r="A448" s="17"/>
      <c r="B448" s="17"/>
      <c r="C448" s="527" t="s">
        <v>307</v>
      </c>
      <c r="D448" s="21">
        <f>Tragwerk!M91</f>
        <v>59.842542496499931</v>
      </c>
      <c r="E448" s="237" t="s">
        <v>2</v>
      </c>
      <c r="F448" s="27"/>
      <c r="G448" s="527" t="s">
        <v>75</v>
      </c>
      <c r="H448" s="527"/>
      <c r="I448" s="18"/>
      <c r="J448" s="17"/>
      <c r="K448" s="17"/>
    </row>
    <row r="449" spans="1:11" s="239" customFormat="1" ht="13" customHeight="1">
      <c r="A449" s="17"/>
      <c r="B449" s="17"/>
      <c r="C449" s="25" t="s">
        <v>508</v>
      </c>
      <c r="D449" s="26">
        <f>D448/D447</f>
        <v>0.27103010676690825</v>
      </c>
      <c r="E449" s="520" t="s">
        <v>7</v>
      </c>
      <c r="F449" s="27"/>
      <c r="G449" s="24" t="s">
        <v>46</v>
      </c>
      <c r="H449" s="527"/>
      <c r="I449" s="18"/>
      <c r="J449" s="17"/>
      <c r="K449" s="17"/>
    </row>
    <row r="450" spans="1:11" s="239" customFormat="1" ht="6.8" customHeight="1">
      <c r="A450" s="4"/>
      <c r="B450" s="240"/>
      <c r="C450" s="240"/>
      <c r="D450" s="240"/>
      <c r="E450" s="240"/>
      <c r="F450" s="240"/>
      <c r="G450" s="240"/>
      <c r="H450" s="240"/>
      <c r="I450" s="240"/>
      <c r="J450" s="240"/>
      <c r="K450" s="4"/>
    </row>
    <row r="451" spans="1:11" s="239" customFormat="1" ht="13" customHeight="1">
      <c r="A451" s="1032" t="s">
        <v>518</v>
      </c>
      <c r="B451" s="1032"/>
      <c r="C451" s="1032"/>
      <c r="D451" s="1032"/>
      <c r="E451" s="1032"/>
      <c r="F451" s="1032"/>
      <c r="G451" s="1032"/>
      <c r="H451" s="1032"/>
      <c r="I451" s="1032"/>
      <c r="J451" s="1032"/>
      <c r="K451" s="520"/>
    </row>
    <row r="452" spans="1:11" s="239" customFormat="1" ht="6.8" customHeight="1">
      <c r="A452" s="17"/>
      <c r="B452" s="17"/>
      <c r="C452" s="23"/>
      <c r="D452" s="18"/>
      <c r="E452" s="19"/>
      <c r="F452" s="17"/>
      <c r="G452" s="527"/>
      <c r="H452" s="20"/>
      <c r="I452" s="17"/>
      <c r="J452" s="17"/>
      <c r="K452" s="17"/>
    </row>
    <row r="453" spans="1:11" s="239" customFormat="1" ht="13" customHeight="1">
      <c r="A453" s="17"/>
      <c r="B453" s="17"/>
      <c r="C453" s="23" t="s">
        <v>85</v>
      </c>
      <c r="D453" s="21">
        <f>INDEX(Tragwerk!M96:O96,1,MATCH(Eingabe!$C$4,Tragwerk!$M$14:$O$14))</f>
        <v>8.7186456326912978E-2</v>
      </c>
      <c r="E453" s="19" t="s">
        <v>7</v>
      </c>
      <c r="F453" s="17"/>
      <c r="G453" s="527" t="s">
        <v>515</v>
      </c>
      <c r="H453" s="20"/>
      <c r="I453" s="17"/>
      <c r="J453" s="17"/>
      <c r="K453" s="17"/>
    </row>
    <row r="454" spans="1:11" s="239" customFormat="1" ht="13" customHeight="1">
      <c r="A454" s="17"/>
      <c r="B454" s="17"/>
      <c r="C454" s="23" t="s">
        <v>87</v>
      </c>
      <c r="D454" s="21">
        <f>INDEX(Tragwerk!M97:O97,1,MATCH(Eingabe!$C$4,Tragwerk!$M$14:$O$14))</f>
        <v>0.98527348951092064</v>
      </c>
      <c r="E454" s="19" t="s">
        <v>7</v>
      </c>
      <c r="F454" s="17"/>
      <c r="G454" s="527" t="s">
        <v>519</v>
      </c>
      <c r="H454" s="20"/>
      <c r="I454" s="17"/>
      <c r="J454" s="17"/>
      <c r="K454" s="17"/>
    </row>
    <row r="455" spans="1:11" s="239" customFormat="1" ht="1.75" customHeight="1">
      <c r="A455" s="17"/>
      <c r="B455" s="17"/>
      <c r="C455" s="23"/>
      <c r="D455" s="18"/>
      <c r="E455" s="19"/>
      <c r="F455" s="17"/>
      <c r="G455" s="527"/>
      <c r="H455" s="20"/>
      <c r="I455" s="17"/>
      <c r="J455" s="17"/>
      <c r="K455" s="17"/>
    </row>
    <row r="456" spans="1:11" s="239" customFormat="1" ht="13" customHeight="1">
      <c r="A456" s="17"/>
      <c r="B456" s="17"/>
      <c r="C456" s="25" t="s">
        <v>548</v>
      </c>
      <c r="D456" s="26">
        <f>INDEX(Tragwerk!M99:O99,1,MATCH(Eingabe!$C$4,Tragwerk!$M$14:$O$14))</f>
        <v>0.89371662153152809</v>
      </c>
      <c r="E456" s="520" t="s">
        <v>7</v>
      </c>
      <c r="F456" s="27"/>
      <c r="G456" s="527" t="s">
        <v>1324</v>
      </c>
      <c r="H456" s="20"/>
      <c r="I456" s="17"/>
      <c r="J456" s="17"/>
      <c r="K456" s="17"/>
    </row>
    <row r="457" spans="1:11" s="239" customFormat="1" ht="6.8" customHeight="1">
      <c r="A457" s="17"/>
      <c r="B457" s="17"/>
      <c r="C457" s="23"/>
      <c r="D457" s="18"/>
      <c r="E457" s="19"/>
      <c r="F457" s="17"/>
      <c r="G457" s="527"/>
      <c r="H457" s="20"/>
      <c r="I457" s="17"/>
      <c r="J457" s="17"/>
      <c r="K457" s="17"/>
    </row>
    <row r="458" spans="1:11" s="239" customFormat="1" ht="14.15" customHeight="1">
      <c r="A458" s="1033" t="s">
        <v>300</v>
      </c>
      <c r="B458" s="1033"/>
      <c r="C458" s="1033"/>
      <c r="D458" s="1033"/>
      <c r="E458" s="1033"/>
      <c r="F458" s="1033"/>
      <c r="G458" s="1033"/>
      <c r="H458" s="1033"/>
      <c r="I458" s="1033"/>
      <c r="J458" s="1033"/>
      <c r="K458" s="502"/>
    </row>
    <row r="459" spans="1:11" s="239" customFormat="1" ht="5.9" customHeight="1">
      <c r="A459" s="4"/>
      <c r="B459" s="240"/>
      <c r="C459" s="240"/>
      <c r="D459" s="240"/>
      <c r="E459" s="240"/>
      <c r="F459" s="240"/>
      <c r="G459" s="240"/>
      <c r="H459" s="240"/>
      <c r="I459" s="240"/>
      <c r="J459" s="240"/>
      <c r="K459" s="4"/>
    </row>
    <row r="460" spans="1:11" s="239" customFormat="1" ht="13" customHeight="1">
      <c r="A460" s="1032" t="s">
        <v>514</v>
      </c>
      <c r="B460" s="1032"/>
      <c r="C460" s="1032"/>
      <c r="D460" s="1032"/>
      <c r="E460" s="1032"/>
      <c r="F460" s="1032"/>
      <c r="G460" s="1032"/>
      <c r="H460" s="1032"/>
      <c r="I460" s="1032"/>
      <c r="J460" s="1032"/>
      <c r="K460" s="520"/>
    </row>
    <row r="461" spans="1:11" s="239" customFormat="1" ht="13" customHeight="1">
      <c r="A461" s="17"/>
      <c r="B461" s="14" t="s">
        <v>1</v>
      </c>
      <c r="C461" s="232"/>
      <c r="D461" s="232"/>
      <c r="E461" s="232"/>
      <c r="F461" s="17"/>
      <c r="G461" s="527"/>
      <c r="H461" s="527"/>
      <c r="I461" s="527"/>
      <c r="J461" s="527"/>
      <c r="K461" s="17"/>
    </row>
    <row r="462" spans="1:11" s="239" customFormat="1" ht="13" customHeight="1">
      <c r="A462" s="17"/>
      <c r="B462" s="17"/>
      <c r="C462" s="527" t="s">
        <v>4</v>
      </c>
      <c r="D462" s="21">
        <f>INDEX(Kappe!L17:N17,1,MATCH(Eingabe!$C$4,Kappe!$L$12:$N$12))</f>
        <v>247</v>
      </c>
      <c r="E462" s="19" t="s">
        <v>2</v>
      </c>
      <c r="F462" s="17"/>
      <c r="G462" s="527" t="s">
        <v>361</v>
      </c>
      <c r="H462" s="527"/>
      <c r="I462" s="527"/>
      <c r="J462" s="527"/>
      <c r="K462" s="17"/>
    </row>
    <row r="463" spans="1:11" s="239" customFormat="1" ht="13" customHeight="1">
      <c r="A463" s="17"/>
      <c r="B463" s="17"/>
      <c r="C463" s="17" t="s">
        <v>3</v>
      </c>
      <c r="D463" s="21">
        <f>Kappe!$L$18</f>
        <v>1.87</v>
      </c>
      <c r="E463" s="19" t="s">
        <v>7</v>
      </c>
      <c r="F463" s="17"/>
      <c r="G463" s="527" t="s">
        <v>359</v>
      </c>
      <c r="H463" s="527"/>
      <c r="I463" s="527"/>
      <c r="J463" s="527"/>
      <c r="K463" s="17"/>
    </row>
    <row r="464" spans="1:11" s="239" customFormat="1" ht="13" customHeight="1">
      <c r="A464" s="17"/>
      <c r="B464" s="17"/>
      <c r="C464" s="527" t="s">
        <v>64</v>
      </c>
      <c r="D464" s="21">
        <f>INDEX(Kappe!L19:N19,1,MATCH(Eingabe!$C$4,Kappe!$L$12:$N$12))</f>
        <v>132.08556149732618</v>
      </c>
      <c r="E464" s="19" t="s">
        <v>2</v>
      </c>
      <c r="F464" s="17"/>
      <c r="G464" s="527" t="s">
        <v>73</v>
      </c>
      <c r="H464" s="527"/>
      <c r="I464" s="527"/>
      <c r="J464" s="527"/>
      <c r="K464" s="17"/>
    </row>
    <row r="465" spans="1:11" s="239" customFormat="1" ht="13" customHeight="1">
      <c r="A465" s="17"/>
      <c r="B465" s="17"/>
      <c r="C465" s="527" t="s">
        <v>306</v>
      </c>
      <c r="D465" s="21">
        <f>Kappe!$L$53</f>
        <v>4.7057430951337125</v>
      </c>
      <c r="E465" s="19" t="s">
        <v>2</v>
      </c>
      <c r="F465" s="17"/>
      <c r="G465" s="527" t="s">
        <v>75</v>
      </c>
      <c r="H465" s="527"/>
      <c r="I465" s="527"/>
      <c r="J465" s="527"/>
      <c r="K465" s="17"/>
    </row>
    <row r="466" spans="1:11" s="239" customFormat="1" ht="13" customHeight="1">
      <c r="A466" s="17"/>
      <c r="B466" s="17"/>
      <c r="C466" s="25" t="s">
        <v>88</v>
      </c>
      <c r="D466" s="26">
        <f>D465/D464</f>
        <v>3.5626476064372643E-2</v>
      </c>
      <c r="E466" s="520" t="s">
        <v>7</v>
      </c>
      <c r="F466" s="27"/>
      <c r="G466" s="24" t="s">
        <v>46</v>
      </c>
      <c r="H466" s="527"/>
      <c r="I466" s="527"/>
      <c r="J466" s="527"/>
      <c r="K466" s="17"/>
    </row>
    <row r="467" spans="1:11" s="239" customFormat="1" ht="5.9" customHeight="1">
      <c r="A467" s="228"/>
      <c r="B467" s="242"/>
      <c r="C467" s="242"/>
      <c r="D467" s="242"/>
      <c r="E467" s="242"/>
      <c r="F467" s="242"/>
      <c r="G467" s="242"/>
      <c r="H467" s="242"/>
      <c r="I467" s="242"/>
      <c r="J467" s="242"/>
      <c r="K467" s="228"/>
    </row>
    <row r="468" spans="1:11" s="239" customFormat="1" ht="13" customHeight="1">
      <c r="A468" s="224"/>
      <c r="B468" s="233" t="s">
        <v>5</v>
      </c>
      <c r="C468" s="19"/>
      <c r="D468" s="19"/>
      <c r="E468" s="17"/>
      <c r="F468" s="17"/>
      <c r="G468" s="527"/>
      <c r="H468" s="527"/>
      <c r="I468" s="527"/>
      <c r="J468" s="225"/>
      <c r="K468" s="224"/>
    </row>
    <row r="469" spans="1:11" s="239" customFormat="1" ht="13" customHeight="1">
      <c r="A469" s="224"/>
      <c r="B469" s="233"/>
      <c r="C469" s="234" t="s">
        <v>115</v>
      </c>
      <c r="D469" s="18">
        <f>INDEX(Kappe!L21:N21,1,MATCH(Eingabe!$C$4,Kappe!$L$12:$N$12))</f>
        <v>565</v>
      </c>
      <c r="E469" s="19" t="s">
        <v>16</v>
      </c>
      <c r="F469" s="17"/>
      <c r="G469" s="527" t="s">
        <v>137</v>
      </c>
      <c r="H469" s="527"/>
      <c r="I469" s="527"/>
      <c r="J469" s="225"/>
      <c r="K469" s="224"/>
    </row>
    <row r="470" spans="1:11" s="239" customFormat="1" ht="13" customHeight="1">
      <c r="A470" s="224"/>
      <c r="B470" s="233"/>
      <c r="C470" s="666" t="s">
        <v>1152</v>
      </c>
      <c r="D470" s="669">
        <f>Eingabe!N3</f>
        <v>1</v>
      </c>
      <c r="E470" s="19" t="s">
        <v>7</v>
      </c>
      <c r="F470" s="17"/>
      <c r="G470" s="527" t="s">
        <v>1151</v>
      </c>
      <c r="H470" s="527"/>
      <c r="I470" s="527"/>
      <c r="J470" s="225"/>
      <c r="K470" s="224"/>
    </row>
    <row r="471" spans="1:11" s="239" customFormat="1" ht="13" customHeight="1">
      <c r="A471" s="224"/>
      <c r="B471" s="233"/>
      <c r="C471" s="234" t="s">
        <v>6</v>
      </c>
      <c r="D471" s="21">
        <f>INDEX(Kappe!L22:N22,1,MATCH(Eingabe!$C$4,Kappe!$L$12:$N$12))</f>
        <v>101.7</v>
      </c>
      <c r="E471" s="19" t="s">
        <v>2</v>
      </c>
      <c r="F471" s="17"/>
      <c r="G471" s="527" t="s">
        <v>1324</v>
      </c>
      <c r="H471" s="527"/>
      <c r="I471" s="527"/>
      <c r="J471" s="225"/>
      <c r="K471" s="224"/>
    </row>
    <row r="472" spans="1:11" s="239" customFormat="1" ht="13" customHeight="1">
      <c r="A472" s="224"/>
      <c r="B472" s="233"/>
      <c r="C472" s="234" t="s">
        <v>108</v>
      </c>
      <c r="D472" s="18">
        <f>Kappe!L23</f>
        <v>1.2</v>
      </c>
      <c r="E472" s="19" t="s">
        <v>7</v>
      </c>
      <c r="F472" s="17"/>
      <c r="G472" s="527" t="s">
        <v>1324</v>
      </c>
      <c r="H472" s="527"/>
      <c r="I472" s="527"/>
      <c r="J472" s="225"/>
      <c r="K472" s="224"/>
    </row>
    <row r="473" spans="1:11" s="239" customFormat="1" ht="13" customHeight="1">
      <c r="A473" s="224"/>
      <c r="B473" s="233"/>
      <c r="C473" s="234" t="s">
        <v>123</v>
      </c>
      <c r="D473" s="21">
        <f>INDEX(Kappe!L24:N24,1,MATCH(Eingabe!$C$4,Kappe!$L$12:$N$12))</f>
        <v>84.75</v>
      </c>
      <c r="E473" s="19" t="s">
        <v>2</v>
      </c>
      <c r="F473" s="17"/>
      <c r="G473" s="527" t="s">
        <v>73</v>
      </c>
      <c r="H473" s="527"/>
      <c r="I473" s="527"/>
      <c r="J473" s="225"/>
      <c r="K473" s="224"/>
    </row>
    <row r="474" spans="1:11" s="239" customFormat="1" ht="13" customHeight="1">
      <c r="A474" s="224"/>
      <c r="B474" s="233"/>
      <c r="C474" s="527" t="s">
        <v>306</v>
      </c>
      <c r="D474" s="21">
        <f>Kappe!$L$53</f>
        <v>4.7057430951337125</v>
      </c>
      <c r="E474" s="19" t="s">
        <v>2</v>
      </c>
      <c r="F474" s="17"/>
      <c r="G474" s="527" t="s">
        <v>75</v>
      </c>
      <c r="H474" s="527"/>
      <c r="I474" s="527"/>
      <c r="J474" s="225"/>
      <c r="K474" s="224"/>
    </row>
    <row r="475" spans="1:11" s="239" customFormat="1" ht="13" customHeight="1">
      <c r="A475" s="224"/>
      <c r="B475" s="17"/>
      <c r="C475" s="25" t="s">
        <v>122</v>
      </c>
      <c r="D475" s="26">
        <f>D474/D473</f>
        <v>5.552499227296416E-2</v>
      </c>
      <c r="E475" s="520" t="s">
        <v>7</v>
      </c>
      <c r="F475" s="27"/>
      <c r="G475" s="24" t="s">
        <v>46</v>
      </c>
      <c r="H475" s="527"/>
      <c r="I475" s="527"/>
      <c r="J475" s="225"/>
      <c r="K475" s="224"/>
    </row>
    <row r="476" spans="1:11" s="239" customFormat="1" ht="5.9" customHeight="1">
      <c r="A476" s="228"/>
      <c r="B476" s="240"/>
      <c r="C476" s="240"/>
      <c r="D476" s="240"/>
      <c r="E476" s="240"/>
      <c r="F476" s="240"/>
      <c r="G476" s="240"/>
      <c r="H476" s="240"/>
      <c r="I476" s="240"/>
      <c r="J476" s="242"/>
      <c r="K476" s="228"/>
    </row>
    <row r="477" spans="1:11" s="239" customFormat="1" ht="13" customHeight="1">
      <c r="A477" s="224"/>
      <c r="B477" s="233" t="s">
        <v>8</v>
      </c>
      <c r="C477" s="19"/>
      <c r="D477" s="19"/>
      <c r="E477" s="17"/>
      <c r="F477" s="17"/>
      <c r="G477" s="527"/>
      <c r="H477" s="527"/>
      <c r="I477" s="527"/>
      <c r="J477" s="225"/>
      <c r="K477" s="224"/>
    </row>
    <row r="478" spans="1:11" s="239" customFormat="1" ht="14.15" customHeight="1">
      <c r="A478" s="224"/>
      <c r="B478" s="17"/>
      <c r="C478" s="527" t="s">
        <v>78</v>
      </c>
      <c r="D478" s="21">
        <f>INDEX(Kappe!L27:N27,1,MATCH(Eingabe!$C$4,Kappe!$L$12:$N$12))</f>
        <v>30.846077222233625</v>
      </c>
      <c r="E478" s="19" t="s">
        <v>2</v>
      </c>
      <c r="F478" s="17"/>
      <c r="G478" s="527" t="s">
        <v>1324</v>
      </c>
      <c r="H478" s="527"/>
      <c r="I478" s="527"/>
      <c r="J478" s="225"/>
      <c r="K478" s="224"/>
    </row>
    <row r="479" spans="1:11" s="239" customFormat="1" ht="14.15" customHeight="1">
      <c r="A479" s="224"/>
      <c r="B479" s="17"/>
      <c r="C479" s="527" t="s">
        <v>79</v>
      </c>
      <c r="D479" s="20">
        <f>INDEX(Kappe!L28:N28,1,MATCH(Eingabe!$C$4,Kappe!$L$12:$N$12))</f>
        <v>51984</v>
      </c>
      <c r="E479" s="19" t="s">
        <v>16</v>
      </c>
      <c r="F479" s="17"/>
      <c r="G479" s="527" t="s">
        <v>1324</v>
      </c>
      <c r="H479" s="527"/>
      <c r="I479" s="527"/>
      <c r="J479" s="225"/>
      <c r="K479" s="224"/>
    </row>
    <row r="480" spans="1:11" s="239" customFormat="1" ht="13" customHeight="1">
      <c r="A480" s="224"/>
      <c r="B480" s="17"/>
      <c r="C480" s="527" t="s">
        <v>80</v>
      </c>
      <c r="D480" s="20">
        <f>INDEX(Kappe!L29:N29,1,MATCH(Eingabe!$C$4,Kappe!$L$12:$N$12))</f>
        <v>69168</v>
      </c>
      <c r="E480" s="19" t="s">
        <v>16</v>
      </c>
      <c r="F480" s="17"/>
      <c r="G480" s="527" t="s">
        <v>1324</v>
      </c>
      <c r="H480" s="527"/>
      <c r="I480" s="527"/>
      <c r="J480" s="225"/>
      <c r="K480" s="224"/>
    </row>
    <row r="481" spans="1:11" s="239" customFormat="1" ht="13" customHeight="1">
      <c r="A481" s="224"/>
      <c r="B481" s="17"/>
      <c r="C481" s="527" t="s">
        <v>10</v>
      </c>
      <c r="D481" s="18">
        <f>Kappe!$L$26</f>
        <v>8.5</v>
      </c>
      <c r="E481" s="19" t="s">
        <v>7</v>
      </c>
      <c r="F481" s="17"/>
      <c r="G481" s="527" t="s">
        <v>1324</v>
      </c>
      <c r="H481" s="527"/>
      <c r="I481" s="527"/>
      <c r="J481" s="225"/>
      <c r="K481" s="224"/>
    </row>
    <row r="482" spans="1:11" s="239" customFormat="1" ht="13" customHeight="1">
      <c r="A482" s="224"/>
      <c r="B482" s="17"/>
      <c r="C482" s="23" t="s">
        <v>81</v>
      </c>
      <c r="D482" s="21">
        <f>INDEX(Kappe!L30:N30,1,MATCH(Eingabe!$C$4,Kappe!$L$12:$N$12))</f>
        <v>1</v>
      </c>
      <c r="E482" s="19" t="s">
        <v>7</v>
      </c>
      <c r="F482" s="17"/>
      <c r="G482" s="527" t="s">
        <v>1324</v>
      </c>
      <c r="H482" s="527"/>
      <c r="I482" s="527"/>
      <c r="J482" s="225"/>
      <c r="K482" s="224"/>
    </row>
    <row r="483" spans="1:11" s="239" customFormat="1" ht="13" customHeight="1">
      <c r="A483" s="224"/>
      <c r="B483" s="17"/>
      <c r="C483" s="23" t="s">
        <v>82</v>
      </c>
      <c r="D483" s="21">
        <f>INDEX(Kappe!L31:N31,1,MATCH(Eingabe!$C$4,Kappe!$L$12:$N$12))</f>
        <v>1</v>
      </c>
      <c r="E483" s="19" t="s">
        <v>7</v>
      </c>
      <c r="F483" s="17"/>
      <c r="G483" s="527" t="s">
        <v>1324</v>
      </c>
      <c r="H483" s="527"/>
      <c r="I483" s="527"/>
      <c r="J483" s="225"/>
      <c r="K483" s="224"/>
    </row>
    <row r="484" spans="1:11" s="239" customFormat="1" ht="13" customHeight="1">
      <c r="A484" s="224"/>
      <c r="B484" s="17"/>
      <c r="C484" s="23" t="s">
        <v>83</v>
      </c>
      <c r="D484" s="21">
        <f>INDEX(Kappe!L32:N32,1,MATCH(Eingabe!$C$4,Kappe!$L$12:$N$12))</f>
        <v>1</v>
      </c>
      <c r="E484" s="19" t="s">
        <v>7</v>
      </c>
      <c r="F484" s="17"/>
      <c r="G484" s="527" t="s">
        <v>1324</v>
      </c>
      <c r="H484" s="527"/>
      <c r="I484" s="527"/>
      <c r="J484" s="225"/>
      <c r="K484" s="224"/>
    </row>
    <row r="485" spans="1:11" s="239" customFormat="1" ht="13" customHeight="1">
      <c r="A485" s="224"/>
      <c r="B485" s="17"/>
      <c r="C485" s="23" t="s">
        <v>84</v>
      </c>
      <c r="D485" s="21">
        <f>INDEX(Kappe!L33:N33,1,MATCH(Eingabe!$C$4,Kappe!$L$12:$N$12))</f>
        <v>1</v>
      </c>
      <c r="E485" s="19" t="s">
        <v>7</v>
      </c>
      <c r="F485" s="17"/>
      <c r="G485" s="527" t="s">
        <v>1324</v>
      </c>
      <c r="H485" s="527"/>
      <c r="I485" s="527"/>
      <c r="J485" s="225"/>
      <c r="K485" s="224"/>
    </row>
    <row r="486" spans="1:11" s="239" customFormat="1" ht="13" customHeight="1">
      <c r="A486" s="224"/>
      <c r="B486" s="17"/>
      <c r="C486" s="666" t="s">
        <v>1152</v>
      </c>
      <c r="D486" s="669">
        <f>Eingabe!N3</f>
        <v>1</v>
      </c>
      <c r="E486" s="19" t="s">
        <v>7</v>
      </c>
      <c r="F486" s="17"/>
      <c r="G486" s="527" t="s">
        <v>1151</v>
      </c>
      <c r="H486" s="527"/>
      <c r="I486" s="527"/>
      <c r="J486" s="225"/>
      <c r="K486" s="224"/>
    </row>
    <row r="487" spans="1:11" s="239" customFormat="1" ht="13" customHeight="1">
      <c r="A487" s="224"/>
      <c r="B487" s="17"/>
      <c r="C487" s="527" t="s">
        <v>77</v>
      </c>
      <c r="D487" s="21">
        <f>INDEX(Kappe!L34:N34,1,MATCH(Eingabe!$C$4,Kappe!$L$12:$N$12))</f>
        <v>41.042656765686658</v>
      </c>
      <c r="E487" s="19" t="s">
        <v>2</v>
      </c>
      <c r="F487" s="17"/>
      <c r="G487" s="527" t="s">
        <v>1324</v>
      </c>
      <c r="H487" s="527"/>
      <c r="I487" s="527"/>
      <c r="J487" s="225"/>
      <c r="K487" s="224"/>
    </row>
    <row r="488" spans="1:11" s="239" customFormat="1" ht="13" customHeight="1">
      <c r="A488" s="224"/>
      <c r="B488" s="17"/>
      <c r="C488" s="17" t="s">
        <v>12</v>
      </c>
      <c r="D488" s="21">
        <f>Kappe!$L$35</f>
        <v>1.2</v>
      </c>
      <c r="E488" s="19" t="s">
        <v>7</v>
      </c>
      <c r="F488" s="17"/>
      <c r="G488" s="527" t="s">
        <v>1324</v>
      </c>
      <c r="H488" s="527"/>
      <c r="I488" s="527"/>
      <c r="J488" s="225"/>
      <c r="K488" s="224"/>
    </row>
    <row r="489" spans="1:11" s="239" customFormat="1" ht="13" customHeight="1">
      <c r="A489" s="224"/>
      <c r="B489" s="17"/>
      <c r="C489" s="527" t="s">
        <v>71</v>
      </c>
      <c r="D489" s="21">
        <f>INDEX(Kappe!L36:N36,1,MATCH(Eingabe!$C$4,Kappe!$L$12:$N$12))</f>
        <v>34.202213971405548</v>
      </c>
      <c r="E489" s="19" t="s">
        <v>2</v>
      </c>
      <c r="F489" s="17"/>
      <c r="G489" s="527" t="s">
        <v>73</v>
      </c>
      <c r="H489" s="527"/>
      <c r="I489" s="527"/>
      <c r="J489" s="225"/>
      <c r="K489" s="224"/>
    </row>
    <row r="490" spans="1:11" s="239" customFormat="1" ht="13" customHeight="1">
      <c r="A490" s="224"/>
      <c r="B490" s="17"/>
      <c r="C490" s="527" t="s">
        <v>306</v>
      </c>
      <c r="D490" s="21">
        <f>Kappe!$L$53</f>
        <v>4.7057430951337125</v>
      </c>
      <c r="E490" s="19" t="s">
        <v>2</v>
      </c>
      <c r="F490" s="17"/>
      <c r="G490" s="527" t="s">
        <v>75</v>
      </c>
      <c r="H490" s="527"/>
      <c r="I490" s="527"/>
      <c r="J490" s="225"/>
      <c r="K490" s="224"/>
    </row>
    <row r="491" spans="1:11" s="239" customFormat="1" ht="13" customHeight="1">
      <c r="A491" s="224"/>
      <c r="B491" s="17"/>
      <c r="C491" s="25" t="s">
        <v>89</v>
      </c>
      <c r="D491" s="26">
        <f>D490/D489</f>
        <v>0.13758592058010941</v>
      </c>
      <c r="E491" s="520" t="s">
        <v>7</v>
      </c>
      <c r="F491" s="27"/>
      <c r="G491" s="24" t="s">
        <v>46</v>
      </c>
      <c r="H491" s="527"/>
      <c r="I491" s="527"/>
      <c r="J491" s="225"/>
      <c r="K491" s="224"/>
    </row>
    <row r="492" spans="1:11" s="239" customFormat="1" ht="5.9" customHeight="1">
      <c r="A492" s="224"/>
      <c r="B492" s="224"/>
      <c r="C492" s="226"/>
      <c r="D492" s="227"/>
      <c r="E492" s="225"/>
      <c r="F492" s="224"/>
      <c r="G492" s="225"/>
      <c r="H492" s="225"/>
      <c r="I492" s="225"/>
      <c r="J492" s="225"/>
      <c r="K492" s="224"/>
    </row>
    <row r="493" spans="1:11" s="239" customFormat="1" ht="13" customHeight="1">
      <c r="A493" s="1032" t="s">
        <v>513</v>
      </c>
      <c r="B493" s="1032"/>
      <c r="C493" s="1032"/>
      <c r="D493" s="1032"/>
      <c r="E493" s="1032"/>
      <c r="F493" s="1032"/>
      <c r="G493" s="1032"/>
      <c r="H493" s="1032"/>
      <c r="I493" s="1032"/>
      <c r="J493" s="1032"/>
      <c r="K493" s="520"/>
    </row>
    <row r="494" spans="1:11" s="239" customFormat="1" ht="13" customHeight="1">
      <c r="A494" s="527"/>
      <c r="B494" s="235" t="s">
        <v>120</v>
      </c>
      <c r="C494" s="236"/>
      <c r="D494" s="527"/>
      <c r="E494" s="527"/>
      <c r="F494" s="527"/>
      <c r="G494" s="527"/>
      <c r="H494" s="527"/>
      <c r="I494" s="527"/>
      <c r="J494" s="527"/>
      <c r="K494" s="527"/>
    </row>
    <row r="495" spans="1:11" s="239" customFormat="1" ht="13" customHeight="1">
      <c r="A495" s="527"/>
      <c r="B495" s="17"/>
      <c r="C495" s="527" t="s">
        <v>118</v>
      </c>
      <c r="D495" s="21">
        <f>INDEX(Kappe!L58:N58,1,MATCH(Eingabe!$C$4,Kappe!$L$12:$N$12))</f>
        <v>757.99758981340312</v>
      </c>
      <c r="E495" s="19" t="s">
        <v>119</v>
      </c>
      <c r="F495" s="17"/>
      <c r="G495" s="527" t="s">
        <v>362</v>
      </c>
      <c r="H495" s="527"/>
      <c r="I495" s="527"/>
      <c r="J495" s="527"/>
      <c r="K495" s="527"/>
    </row>
    <row r="496" spans="1:11" s="239" customFormat="1" ht="13" customHeight="1">
      <c r="A496" s="527"/>
      <c r="B496" s="17"/>
      <c r="C496" s="17" t="s">
        <v>3</v>
      </c>
      <c r="D496" s="21">
        <f>Kappe!$L$59</f>
        <v>1.56</v>
      </c>
      <c r="E496" s="19" t="s">
        <v>7</v>
      </c>
      <c r="F496" s="17"/>
      <c r="G496" s="527" t="s">
        <v>359</v>
      </c>
      <c r="H496" s="527"/>
      <c r="I496" s="527"/>
      <c r="J496" s="527"/>
      <c r="K496" s="527"/>
    </row>
    <row r="497" spans="1:11" s="239" customFormat="1" ht="13" customHeight="1">
      <c r="A497" s="527"/>
      <c r="B497" s="17"/>
      <c r="C497" s="527" t="s">
        <v>65</v>
      </c>
      <c r="D497" s="21">
        <f>INDEX(Kappe!L60:N60,1,MATCH(Eingabe!$C$4,Kappe!$L$12:$N$12))</f>
        <v>30.368493181626725</v>
      </c>
      <c r="E497" s="19" t="s">
        <v>2</v>
      </c>
      <c r="F497" s="17"/>
      <c r="G497" s="527" t="s">
        <v>73</v>
      </c>
      <c r="H497" s="14"/>
      <c r="I497" s="14"/>
      <c r="J497" s="14"/>
      <c r="K497" s="17"/>
    </row>
    <row r="498" spans="1:11" s="239" customFormat="1" ht="13" customHeight="1">
      <c r="A498" s="527"/>
      <c r="B498" s="17"/>
      <c r="C498" s="527" t="s">
        <v>307</v>
      </c>
      <c r="D498" s="21">
        <f>Kappe!$L$61</f>
        <v>29.921271248249965</v>
      </c>
      <c r="E498" s="19" t="s">
        <v>2</v>
      </c>
      <c r="F498" s="17"/>
      <c r="G498" s="527" t="s">
        <v>75</v>
      </c>
      <c r="H498" s="527"/>
      <c r="I498" s="18"/>
      <c r="J498" s="17"/>
      <c r="K498" s="17"/>
    </row>
    <row r="499" spans="1:11" s="239" customFormat="1" ht="13" customHeight="1">
      <c r="A499" s="527"/>
      <c r="B499" s="17"/>
      <c r="C499" s="25" t="s">
        <v>90</v>
      </c>
      <c r="D499" s="26">
        <f>D498/D497</f>
        <v>0.98527348951092064</v>
      </c>
      <c r="E499" s="520" t="s">
        <v>7</v>
      </c>
      <c r="F499" s="27"/>
      <c r="G499" s="24" t="s">
        <v>46</v>
      </c>
      <c r="H499" s="527"/>
      <c r="I499" s="18"/>
      <c r="J499" s="17"/>
      <c r="K499" s="17"/>
    </row>
    <row r="500" spans="1:11" s="239" customFormat="1" ht="5.9" customHeight="1">
      <c r="A500" s="228"/>
      <c r="B500" s="242"/>
      <c r="C500" s="242"/>
      <c r="D500" s="242"/>
      <c r="E500" s="242"/>
      <c r="F500" s="242"/>
      <c r="G500" s="242"/>
      <c r="H500" s="242"/>
      <c r="I500" s="242"/>
      <c r="J500" s="242"/>
      <c r="K500" s="228"/>
    </row>
    <row r="501" spans="1:11" s="239" customFormat="1" ht="13" customHeight="1">
      <c r="A501" s="225"/>
      <c r="B501" s="238" t="s">
        <v>9</v>
      </c>
      <c r="C501" s="17"/>
      <c r="D501" s="17"/>
      <c r="E501" s="17"/>
      <c r="F501" s="527"/>
      <c r="G501" s="527"/>
      <c r="H501" s="527"/>
      <c r="I501" s="229"/>
      <c r="J501" s="224"/>
      <c r="K501" s="224"/>
    </row>
    <row r="502" spans="1:11" s="239" customFormat="1" ht="13" customHeight="1">
      <c r="A502" s="225"/>
      <c r="B502" s="224"/>
      <c r="C502" s="4" t="s">
        <v>10</v>
      </c>
      <c r="D502" s="18">
        <f>Kappe!$L$64</f>
        <v>2</v>
      </c>
      <c r="E502" s="19" t="s">
        <v>7</v>
      </c>
      <c r="F502" s="17"/>
      <c r="G502" s="527" t="s">
        <v>1324</v>
      </c>
      <c r="H502" s="527"/>
      <c r="I502" s="229"/>
      <c r="J502" s="224"/>
      <c r="K502" s="224"/>
    </row>
    <row r="503" spans="1:11" s="239" customFormat="1" ht="13" customHeight="1">
      <c r="A503" s="224"/>
      <c r="B503" s="224"/>
      <c r="C503" s="527" t="s">
        <v>18</v>
      </c>
      <c r="D503" s="21">
        <f>INDEX(Kappe!L65:N65,1,MATCH(Eingabe!$C$4,Kappe!$L$12:$N$12))</f>
        <v>82.085313531373316</v>
      </c>
      <c r="E503" s="237" t="s">
        <v>2</v>
      </c>
      <c r="F503" s="17"/>
      <c r="G503" s="527" t="s">
        <v>1324</v>
      </c>
      <c r="H503" s="17"/>
      <c r="I503" s="224"/>
      <c r="J503" s="224"/>
      <c r="K503" s="224"/>
    </row>
    <row r="504" spans="1:11" s="239" customFormat="1" ht="13" customHeight="1">
      <c r="A504" s="224"/>
      <c r="B504" s="224"/>
      <c r="C504" s="17" t="s">
        <v>12</v>
      </c>
      <c r="D504" s="21">
        <f>Kappe!$L$66</f>
        <v>1.2</v>
      </c>
      <c r="E504" s="19" t="s">
        <v>7</v>
      </c>
      <c r="F504" s="17"/>
      <c r="G504" s="527" t="s">
        <v>1324</v>
      </c>
      <c r="H504" s="17"/>
      <c r="I504" s="224"/>
      <c r="J504" s="224"/>
      <c r="K504" s="224"/>
    </row>
    <row r="505" spans="1:11" s="239" customFormat="1" ht="13" customHeight="1">
      <c r="A505" s="224"/>
      <c r="B505" s="224"/>
      <c r="C505" s="17" t="s">
        <v>72</v>
      </c>
      <c r="D505" s="21">
        <f>INDEX(Kappe!L67:N67,1,MATCH(Eingabe!$C$4,Kappe!$L$12:$N$12))</f>
        <v>68.404427942811097</v>
      </c>
      <c r="E505" s="19" t="s">
        <v>2</v>
      </c>
      <c r="F505" s="17"/>
      <c r="G505" s="527" t="s">
        <v>73</v>
      </c>
      <c r="H505" s="17"/>
      <c r="I505" s="224"/>
      <c r="J505" s="224"/>
      <c r="K505" s="224"/>
    </row>
    <row r="506" spans="1:11" s="239" customFormat="1" ht="13" customHeight="1">
      <c r="A506" s="224"/>
      <c r="B506" s="224"/>
      <c r="C506" s="527" t="s">
        <v>307</v>
      </c>
      <c r="D506" s="21">
        <f>Kappe!$L$61</f>
        <v>29.921271248249965</v>
      </c>
      <c r="E506" s="19" t="s">
        <v>2</v>
      </c>
      <c r="F506" s="17"/>
      <c r="G506" s="527" t="s">
        <v>75</v>
      </c>
      <c r="H506" s="17"/>
      <c r="I506" s="224"/>
      <c r="J506" s="224"/>
      <c r="K506" s="224"/>
    </row>
    <row r="507" spans="1:11" s="239" customFormat="1" ht="13" customHeight="1">
      <c r="A507" s="224"/>
      <c r="B507" s="224"/>
      <c r="C507" s="25" t="s">
        <v>91</v>
      </c>
      <c r="D507" s="26">
        <f>D506/D505</f>
        <v>0.43741716944501569</v>
      </c>
      <c r="E507" s="520" t="s">
        <v>7</v>
      </c>
      <c r="F507" s="27"/>
      <c r="G507" s="24" t="s">
        <v>46</v>
      </c>
      <c r="H507" s="17"/>
      <c r="I507" s="224"/>
      <c r="J507" s="224"/>
      <c r="K507" s="224"/>
    </row>
    <row r="508" spans="1:11" s="239" customFormat="1" ht="5.9" customHeight="1">
      <c r="A508" s="224"/>
      <c r="B508" s="224"/>
      <c r="C508" s="231"/>
      <c r="D508" s="226"/>
      <c r="E508" s="227"/>
      <c r="F508" s="224"/>
      <c r="G508" s="225"/>
      <c r="H508" s="230"/>
      <c r="I508" s="224"/>
      <c r="J508" s="224"/>
      <c r="K508" s="224"/>
    </row>
    <row r="509" spans="1:11" s="239" customFormat="1" ht="13" customHeight="1">
      <c r="A509" s="1034" t="s">
        <v>522</v>
      </c>
      <c r="B509" s="1034"/>
      <c r="C509" s="1034"/>
      <c r="D509" s="1034"/>
      <c r="E509" s="1034"/>
      <c r="F509" s="1034"/>
      <c r="G509" s="1034"/>
      <c r="H509" s="1034"/>
      <c r="I509" s="1034"/>
      <c r="J509" s="1034"/>
      <c r="K509" s="224"/>
    </row>
    <row r="510" spans="1:11" s="239" customFormat="1" ht="5.9" customHeight="1">
      <c r="A510" s="17"/>
      <c r="B510" s="17"/>
      <c r="C510" s="23"/>
      <c r="D510" s="18"/>
      <c r="E510" s="19"/>
      <c r="F510" s="17"/>
      <c r="G510" s="527"/>
      <c r="H510" s="20"/>
      <c r="I510" s="17"/>
      <c r="J510" s="224"/>
      <c r="K510" s="224"/>
    </row>
    <row r="511" spans="1:11" s="239" customFormat="1" ht="13" customHeight="1">
      <c r="A511" s="17"/>
      <c r="B511" s="17"/>
      <c r="C511" s="23" t="s">
        <v>85</v>
      </c>
      <c r="D511" s="21">
        <f>INDEX(Kappe!L89:N89,1,MATCH(Eingabe!$C$4,Kappe!$L$12:$N$12))</f>
        <v>0.13758592058010941</v>
      </c>
      <c r="E511" s="19" t="s">
        <v>7</v>
      </c>
      <c r="F511" s="17"/>
      <c r="G511" s="527" t="s">
        <v>515</v>
      </c>
      <c r="H511" s="20"/>
      <c r="I511" s="17"/>
      <c r="J511" s="224"/>
      <c r="K511" s="224"/>
    </row>
    <row r="512" spans="1:11" s="239" customFormat="1" ht="13" customHeight="1">
      <c r="A512" s="17"/>
      <c r="B512" s="17"/>
      <c r="C512" s="23" t="s">
        <v>87</v>
      </c>
      <c r="D512" s="21">
        <f>INDEX(Kappe!L90:N90,1,MATCH(Eingabe!$C$4,Kappe!$L$12:$N$12))</f>
        <v>0.98527348951092064</v>
      </c>
      <c r="E512" s="19" t="s">
        <v>7</v>
      </c>
      <c r="F512" s="17"/>
      <c r="G512" s="527" t="s">
        <v>519</v>
      </c>
      <c r="H512" s="20"/>
      <c r="I512" s="17"/>
      <c r="J512" s="224"/>
      <c r="K512" s="224"/>
    </row>
    <row r="513" spans="1:11" s="239" customFormat="1" ht="1.1499999999999999" customHeight="1">
      <c r="A513" s="17"/>
      <c r="B513" s="17"/>
      <c r="C513" s="23"/>
      <c r="D513" s="21"/>
      <c r="E513" s="19"/>
      <c r="F513" s="17"/>
      <c r="G513" s="527"/>
      <c r="H513" s="20"/>
      <c r="I513" s="17"/>
      <c r="J513" s="224"/>
      <c r="K513" s="224"/>
    </row>
    <row r="514" spans="1:11" s="239" customFormat="1" ht="13" customHeight="1">
      <c r="A514" s="17"/>
      <c r="B514" s="17"/>
      <c r="C514" s="25" t="s">
        <v>548</v>
      </c>
      <c r="D514" s="26">
        <f>INDEX(Kappe!L92:N92,1,MATCH(Eingabe!$C$4,Kappe!$L$12:$N$12))</f>
        <v>0.93571617507585847</v>
      </c>
      <c r="E514" s="520" t="s">
        <v>7</v>
      </c>
      <c r="F514" s="27"/>
      <c r="G514" s="24" t="s">
        <v>1324</v>
      </c>
      <c r="H514" s="20"/>
      <c r="I514" s="17"/>
      <c r="J514" s="224"/>
      <c r="K514" s="224"/>
    </row>
    <row r="515" spans="1:11" s="239" customFormat="1" ht="5.9" customHeight="1">
      <c r="A515" s="17"/>
      <c r="B515" s="17"/>
      <c r="C515" s="23"/>
      <c r="D515" s="21"/>
      <c r="E515" s="19"/>
      <c r="F515" s="17"/>
      <c r="G515" s="17"/>
      <c r="H515" s="20"/>
      <c r="I515" s="17"/>
      <c r="J515" s="17"/>
      <c r="K515" s="17"/>
    </row>
    <row r="516" spans="1:11" s="239" customFormat="1" ht="14.15" customHeight="1">
      <c r="A516" s="1033" t="s">
        <v>1159</v>
      </c>
      <c r="B516" s="1033"/>
      <c r="C516" s="1033"/>
      <c r="D516" s="1033"/>
      <c r="E516" s="1033"/>
      <c r="F516" s="1033"/>
      <c r="G516" s="1033"/>
      <c r="H516" s="1033"/>
      <c r="I516" s="1033"/>
      <c r="J516" s="1033"/>
      <c r="K516" s="502"/>
    </row>
    <row r="517" spans="1:11" s="239" customFormat="1" ht="5.9" customHeight="1">
      <c r="A517" s="4"/>
      <c r="B517" s="240"/>
      <c r="C517" s="240"/>
      <c r="D517" s="240"/>
      <c r="E517" s="240"/>
      <c r="F517" s="240"/>
      <c r="G517" s="240"/>
      <c r="H517" s="240"/>
      <c r="I517" s="240"/>
      <c r="J517" s="240"/>
      <c r="K517" s="4"/>
    </row>
    <row r="518" spans="1:11" s="239" customFormat="1" ht="13" customHeight="1">
      <c r="A518" s="1032" t="s">
        <v>514</v>
      </c>
      <c r="B518" s="1032"/>
      <c r="C518" s="1032"/>
      <c r="D518" s="1032"/>
      <c r="E518" s="1032"/>
      <c r="F518" s="1032"/>
      <c r="G518" s="1032"/>
      <c r="H518" s="1032"/>
      <c r="I518" s="1032"/>
      <c r="J518" s="1032"/>
      <c r="K518" s="520"/>
    </row>
    <row r="519" spans="1:11" s="239" customFormat="1" ht="13" customHeight="1">
      <c r="A519" s="17"/>
      <c r="B519" s="14" t="s">
        <v>1</v>
      </c>
      <c r="C519" s="232"/>
      <c r="D519" s="232"/>
      <c r="E519" s="232"/>
      <c r="F519" s="17"/>
      <c r="G519" s="527"/>
      <c r="H519" s="527"/>
      <c r="I519" s="527"/>
      <c r="J519" s="527"/>
      <c r="K519" s="17"/>
    </row>
    <row r="520" spans="1:11" s="239" customFormat="1" ht="13" customHeight="1">
      <c r="A520" s="17"/>
      <c r="B520" s="17"/>
      <c r="C520" s="527" t="s">
        <v>4</v>
      </c>
      <c r="D520" s="21">
        <f>INDEX(Tragwerk!R23:T23,1,MATCH(Eingabe!$C$4,Tragwerk!$R$14:$T$14))</f>
        <v>247</v>
      </c>
      <c r="E520" s="19" t="s">
        <v>2</v>
      </c>
      <c r="F520" s="17"/>
      <c r="G520" s="527" t="s">
        <v>361</v>
      </c>
      <c r="H520" s="527"/>
      <c r="I520" s="527"/>
      <c r="J520" s="527"/>
      <c r="K520" s="17"/>
    </row>
    <row r="521" spans="1:11" s="239" customFormat="1" ht="13" customHeight="1">
      <c r="A521" s="17"/>
      <c r="B521" s="17"/>
      <c r="C521" s="17" t="s">
        <v>3</v>
      </c>
      <c r="D521" s="21">
        <f>Tragwerk!$R$24</f>
        <v>1.87</v>
      </c>
      <c r="E521" s="19" t="s">
        <v>7</v>
      </c>
      <c r="F521" s="17"/>
      <c r="G521" s="527" t="s">
        <v>359</v>
      </c>
      <c r="H521" s="527"/>
      <c r="I521" s="527"/>
      <c r="J521" s="527"/>
      <c r="K521" s="17"/>
    </row>
    <row r="522" spans="1:11" s="239" customFormat="1" ht="13" customHeight="1">
      <c r="A522" s="17"/>
      <c r="B522" s="17"/>
      <c r="C522" s="527" t="s">
        <v>64</v>
      </c>
      <c r="D522" s="21">
        <f>INDEX(Tragwerk!R25:T25,1,MATCH(Eingabe!$C$4,Tragwerk!$R$14:$T$14))</f>
        <v>132.08556149732618</v>
      </c>
      <c r="E522" s="19" t="s">
        <v>2</v>
      </c>
      <c r="F522" s="17"/>
      <c r="G522" s="527" t="s">
        <v>73</v>
      </c>
      <c r="H522" s="527"/>
      <c r="I522" s="527"/>
      <c r="J522" s="527"/>
      <c r="K522" s="17"/>
    </row>
    <row r="523" spans="1:11" s="239" customFormat="1" ht="13" customHeight="1">
      <c r="A523" s="17"/>
      <c r="B523" s="17"/>
      <c r="C523" s="527" t="s">
        <v>306</v>
      </c>
      <c r="D523" s="21">
        <f>Tragwerk!$R$60</f>
        <v>3.6775975449364311</v>
      </c>
      <c r="E523" s="19" t="s">
        <v>2</v>
      </c>
      <c r="F523" s="17"/>
      <c r="G523" s="527" t="s">
        <v>75</v>
      </c>
      <c r="H523" s="527"/>
      <c r="I523" s="527"/>
      <c r="J523" s="527"/>
      <c r="K523" s="17"/>
    </row>
    <row r="524" spans="1:11" s="239" customFormat="1" ht="13" customHeight="1">
      <c r="A524" s="17"/>
      <c r="B524" s="17"/>
      <c r="C524" s="25" t="s">
        <v>88</v>
      </c>
      <c r="D524" s="26">
        <f>D523/D522</f>
        <v>2.7842540117534929E-2</v>
      </c>
      <c r="E524" s="520" t="s">
        <v>7</v>
      </c>
      <c r="F524" s="27"/>
      <c r="G524" s="24" t="s">
        <v>46</v>
      </c>
      <c r="H524" s="527"/>
      <c r="I524" s="527"/>
      <c r="J524" s="527"/>
      <c r="K524" s="17"/>
    </row>
    <row r="525" spans="1:11" s="239" customFormat="1" ht="5.9" customHeight="1">
      <c r="A525" s="4"/>
      <c r="B525" s="240"/>
      <c r="C525" s="240"/>
      <c r="D525" s="240"/>
      <c r="E525" s="240"/>
      <c r="F525" s="240"/>
      <c r="G525" s="240"/>
      <c r="H525" s="240"/>
      <c r="I525" s="240"/>
      <c r="J525" s="240"/>
      <c r="K525" s="4"/>
    </row>
    <row r="526" spans="1:11" s="239" customFormat="1" ht="13" customHeight="1">
      <c r="A526" s="17"/>
      <c r="B526" s="233" t="s">
        <v>132</v>
      </c>
      <c r="C526" s="19"/>
      <c r="D526" s="19"/>
      <c r="E526" s="17"/>
      <c r="F526" s="17"/>
      <c r="G526" s="527"/>
      <c r="H526" s="527"/>
      <c r="I526" s="527"/>
      <c r="J526" s="527"/>
      <c r="K526" s="17"/>
    </row>
    <row r="527" spans="1:11" s="239" customFormat="1" ht="14.15" customHeight="1">
      <c r="A527" s="17"/>
      <c r="B527" s="233"/>
      <c r="C527" s="234" t="s">
        <v>128</v>
      </c>
      <c r="D527" s="21">
        <f>INDEX(Tragwerk!$R$27:$T$27,1,MATCH(Eingabe!$C$4,Tragwerk!$R$14:$T$14))</f>
        <v>84.446010528493645</v>
      </c>
      <c r="E527" s="19" t="s">
        <v>2</v>
      </c>
      <c r="F527" s="17"/>
      <c r="G527" s="527" t="s">
        <v>76</v>
      </c>
      <c r="H527" s="527"/>
      <c r="I527" s="527"/>
      <c r="J527" s="527"/>
      <c r="K527" s="17"/>
    </row>
    <row r="528" spans="1:11" s="239" customFormat="1" ht="13" customHeight="1">
      <c r="A528" s="17"/>
      <c r="B528" s="233"/>
      <c r="C528" s="234" t="s">
        <v>129</v>
      </c>
      <c r="D528" s="20">
        <f>INDEX(Tragwerk!$R$28:$T$28,1,MATCH(Eingabe!$C$4,Tragwerk!$R$14:$T$14))</f>
        <v>420</v>
      </c>
      <c r="E528" s="241" t="s">
        <v>0</v>
      </c>
      <c r="F528" s="17"/>
      <c r="G528" s="527" t="s">
        <v>1559</v>
      </c>
      <c r="H528" s="527"/>
      <c r="I528" s="527"/>
      <c r="J528" s="527"/>
      <c r="K528" s="17"/>
    </row>
    <row r="529" spans="1:11" s="239" customFormat="1" ht="14.15" customHeight="1">
      <c r="A529" s="17"/>
      <c r="B529" s="233"/>
      <c r="C529" s="234" t="s">
        <v>130</v>
      </c>
      <c r="D529" s="20">
        <f>INDEX(Tragwerk!$R$29:$T$29,1,MATCH(Eingabe!$C$4,Tragwerk!$R$14:$T$14))</f>
        <v>176400</v>
      </c>
      <c r="E529" s="241" t="s">
        <v>16</v>
      </c>
      <c r="F529" s="17"/>
      <c r="G529" s="527" t="s">
        <v>1554</v>
      </c>
      <c r="H529" s="527"/>
      <c r="I529" s="527"/>
      <c r="J529" s="527"/>
      <c r="K529" s="17"/>
    </row>
    <row r="530" spans="1:11" s="239" customFormat="1" ht="13" customHeight="1">
      <c r="A530" s="17"/>
      <c r="B530" s="233"/>
      <c r="C530" s="234" t="s">
        <v>131</v>
      </c>
      <c r="D530" s="20">
        <f>INDEX(Tragwerk!$R$30:$T$30,1,MATCH(Eingabe!$C$4,Tragwerk!$R$14:$T$14))</f>
        <v>142800</v>
      </c>
      <c r="E530" s="241" t="s">
        <v>16</v>
      </c>
      <c r="F530" s="17"/>
      <c r="G530" s="527" t="s">
        <v>1554</v>
      </c>
      <c r="H530" s="527"/>
      <c r="I530" s="527"/>
      <c r="J530" s="527"/>
      <c r="K530" s="17"/>
    </row>
    <row r="531" spans="1:11" s="239" customFormat="1" ht="13" customHeight="1">
      <c r="A531" s="17"/>
      <c r="B531" s="233"/>
      <c r="C531" s="234" t="s">
        <v>133</v>
      </c>
      <c r="D531" s="21">
        <f>INDEX(Tragwerk!$R$31:$T$31,1,MATCH(Eingabe!$C$4,Tragwerk!$R$14:$T$14))</f>
        <v>1</v>
      </c>
      <c r="E531" s="19" t="s">
        <v>7</v>
      </c>
      <c r="F531" s="17"/>
      <c r="G531" s="527" t="s">
        <v>1324</v>
      </c>
      <c r="H531" s="527"/>
      <c r="I531" s="527"/>
      <c r="J531" s="527"/>
      <c r="K531" s="17"/>
    </row>
    <row r="532" spans="1:11" s="239" customFormat="1" ht="13" customHeight="1">
      <c r="A532" s="17"/>
      <c r="B532" s="233"/>
      <c r="C532" s="234" t="s">
        <v>104</v>
      </c>
      <c r="D532" s="21">
        <f>INDEX(Tragwerk!$R$32:$T$32,1,MATCH(Eingabe!$C$4,Tragwerk!$R$14:$T$14))</f>
        <v>1</v>
      </c>
      <c r="E532" s="19" t="s">
        <v>7</v>
      </c>
      <c r="F532" s="17"/>
      <c r="G532" s="527" t="s">
        <v>1324</v>
      </c>
      <c r="H532" s="527"/>
      <c r="I532" s="527"/>
      <c r="J532" s="527"/>
      <c r="K532" s="17"/>
    </row>
    <row r="533" spans="1:11" s="239" customFormat="1" ht="13" customHeight="1">
      <c r="A533" s="17"/>
      <c r="B533" s="233"/>
      <c r="C533" s="234" t="s">
        <v>110</v>
      </c>
      <c r="D533" s="19">
        <f>INDEX(Tragwerk!$R$33:$T$33,1,MATCH(Eingabe!$C$4,Tragwerk!$R$14:$T$14))</f>
        <v>1.04</v>
      </c>
      <c r="E533" s="19" t="s">
        <v>7</v>
      </c>
      <c r="F533" s="17"/>
      <c r="G533" s="527" t="s">
        <v>360</v>
      </c>
      <c r="H533" s="527"/>
      <c r="I533" s="527"/>
      <c r="J533" s="527"/>
      <c r="K533" s="17"/>
    </row>
    <row r="534" spans="1:11" s="239" customFormat="1" ht="13" customHeight="1">
      <c r="A534" s="17"/>
      <c r="B534" s="233"/>
      <c r="C534" s="234" t="s">
        <v>111</v>
      </c>
      <c r="D534" s="19">
        <f>INDEX(Tragwerk!$R$34:$T$34,1,MATCH(Eingabe!$C$4,Tragwerk!$R$14:$T$14))</f>
        <v>1.07</v>
      </c>
      <c r="E534" s="19" t="s">
        <v>7</v>
      </c>
      <c r="F534" s="17"/>
      <c r="G534" s="527" t="s">
        <v>360</v>
      </c>
      <c r="H534" s="527"/>
      <c r="I534" s="527"/>
      <c r="J534" s="527"/>
      <c r="K534" s="17"/>
    </row>
    <row r="535" spans="1:11" s="239" customFormat="1" ht="13" customHeight="1">
      <c r="A535" s="17"/>
      <c r="B535" s="233"/>
      <c r="C535" s="234" t="s">
        <v>112</v>
      </c>
      <c r="D535" s="19">
        <f>INDEX(Tragwerk!$R$35:$T$35,1,MATCH(Eingabe!$C$4,Tragwerk!$R$14:$T$14))</f>
        <v>1.0900000000000001</v>
      </c>
      <c r="E535" s="19" t="s">
        <v>7</v>
      </c>
      <c r="F535" s="17"/>
      <c r="G535" s="527" t="s">
        <v>360</v>
      </c>
      <c r="H535" s="527"/>
      <c r="I535" s="527"/>
      <c r="J535" s="527"/>
      <c r="K535" s="17"/>
    </row>
    <row r="536" spans="1:11" s="239" customFormat="1" ht="13" customHeight="1">
      <c r="A536" s="17"/>
      <c r="B536" s="233"/>
      <c r="C536" s="234" t="s">
        <v>108</v>
      </c>
      <c r="D536" s="19">
        <f>Tragwerk!$R$38</f>
        <v>1.2</v>
      </c>
      <c r="E536" s="19" t="s">
        <v>7</v>
      </c>
      <c r="F536" s="17"/>
      <c r="G536" s="527" t="s">
        <v>1324</v>
      </c>
      <c r="H536" s="527"/>
      <c r="I536" s="527"/>
      <c r="J536" s="527"/>
      <c r="K536" s="17"/>
    </row>
    <row r="537" spans="1:11" s="239" customFormat="1" ht="13" customHeight="1">
      <c r="A537" s="17"/>
      <c r="B537" s="233"/>
      <c r="C537" s="234" t="s">
        <v>123</v>
      </c>
      <c r="D537" s="21">
        <f>INDEX(Tragwerk!R39:T39,1,MATCH(Eingabe!C4,Tragwerk!R14:T14))</f>
        <v>59.246248656498729</v>
      </c>
      <c r="E537" s="19" t="s">
        <v>2</v>
      </c>
      <c r="F537" s="17"/>
      <c r="G537" s="527" t="s">
        <v>73</v>
      </c>
      <c r="H537" s="527"/>
      <c r="I537" s="527"/>
      <c r="J537" s="527"/>
      <c r="K537" s="17"/>
    </row>
    <row r="538" spans="1:11" s="239" customFormat="1" ht="13" customHeight="1">
      <c r="A538" s="17"/>
      <c r="B538" s="233"/>
      <c r="C538" s="527" t="s">
        <v>306</v>
      </c>
      <c r="D538" s="21">
        <f>Tragwerk!$R$60</f>
        <v>3.6775975449364311</v>
      </c>
      <c r="E538" s="19" t="s">
        <v>2</v>
      </c>
      <c r="F538" s="17"/>
      <c r="G538" s="527" t="s">
        <v>75</v>
      </c>
      <c r="H538" s="527"/>
      <c r="I538" s="527"/>
      <c r="J538" s="527"/>
      <c r="K538" s="17"/>
    </row>
    <row r="539" spans="1:11" s="239" customFormat="1" ht="13" customHeight="1">
      <c r="A539" s="17"/>
      <c r="B539" s="233"/>
      <c r="C539" s="25" t="s">
        <v>122</v>
      </c>
      <c r="D539" s="26">
        <f>D538/D537</f>
        <v>6.2073086960469266E-2</v>
      </c>
      <c r="E539" s="520" t="s">
        <v>7</v>
      </c>
      <c r="F539" s="27"/>
      <c r="G539" s="24" t="s">
        <v>46</v>
      </c>
      <c r="H539" s="527"/>
      <c r="I539" s="527"/>
      <c r="J539" s="527"/>
      <c r="K539" s="17"/>
    </row>
    <row r="540" spans="1:11" s="239" customFormat="1" ht="5.9" customHeight="1">
      <c r="A540" s="4"/>
      <c r="B540" s="240"/>
      <c r="C540" s="240"/>
      <c r="D540" s="240"/>
      <c r="E540" s="240"/>
      <c r="F540" s="240"/>
      <c r="G540" s="240"/>
      <c r="H540" s="240"/>
      <c r="I540" s="240"/>
      <c r="J540" s="240"/>
      <c r="K540" s="4"/>
    </row>
    <row r="541" spans="1:11" s="239" customFormat="1" ht="13" customHeight="1">
      <c r="A541" s="17"/>
      <c r="B541" s="233" t="s">
        <v>8</v>
      </c>
      <c r="C541" s="19"/>
      <c r="D541" s="19"/>
      <c r="E541" s="17"/>
      <c r="F541" s="17"/>
      <c r="G541" s="527"/>
      <c r="H541" s="527"/>
      <c r="I541" s="527"/>
      <c r="J541" s="527"/>
      <c r="K541" s="17"/>
    </row>
    <row r="542" spans="1:11" s="239" customFormat="1" ht="14.15" customHeight="1">
      <c r="A542" s="17"/>
      <c r="B542" s="17"/>
      <c r="C542" s="527" t="s">
        <v>78</v>
      </c>
      <c r="D542" s="21">
        <f>INDEX(Tragwerk!R41:T41,1,MATCH(Eingabe!$C$4,Tragwerk!$R$14:$T$14))</f>
        <v>80.007519646593167</v>
      </c>
      <c r="E542" s="19" t="s">
        <v>2</v>
      </c>
      <c r="F542" s="17"/>
      <c r="G542" s="527" t="s">
        <v>1324</v>
      </c>
      <c r="H542" s="527"/>
      <c r="I542" s="527"/>
      <c r="J542" s="527"/>
      <c r="K542" s="17"/>
    </row>
    <row r="543" spans="1:11" s="239" customFormat="1" ht="14.15" customHeight="1">
      <c r="A543" s="17"/>
      <c r="B543" s="17"/>
      <c r="C543" s="527" t="s">
        <v>79</v>
      </c>
      <c r="D543" s="19">
        <f>INDEX(Tragwerk!R42:T42,1,MATCH(Eingabe!$C$4,Tragwerk!$R$14:$T$14))</f>
        <v>176400</v>
      </c>
      <c r="E543" s="19" t="s">
        <v>16</v>
      </c>
      <c r="F543" s="17"/>
      <c r="G543" s="527" t="s">
        <v>1324</v>
      </c>
      <c r="H543" s="527"/>
      <c r="I543" s="527"/>
      <c r="J543" s="527"/>
      <c r="K543" s="17"/>
    </row>
    <row r="544" spans="1:11" s="239" customFormat="1" ht="13" customHeight="1">
      <c r="A544" s="17"/>
      <c r="B544" s="17"/>
      <c r="C544" s="527" t="s">
        <v>80</v>
      </c>
      <c r="D544" s="19">
        <f>INDEX(Tragwerk!R43:T43,1,MATCH(Eingabe!$C$4,Tragwerk!$R$14:$T$14))</f>
        <v>142800</v>
      </c>
      <c r="E544" s="19" t="s">
        <v>16</v>
      </c>
      <c r="F544" s="17"/>
      <c r="G544" s="527" t="s">
        <v>1324</v>
      </c>
      <c r="H544" s="527"/>
      <c r="I544" s="527"/>
      <c r="J544" s="527"/>
      <c r="K544" s="17"/>
    </row>
    <row r="545" spans="1:11" s="239" customFormat="1" ht="13" customHeight="1">
      <c r="A545" s="17"/>
      <c r="B545" s="17"/>
      <c r="C545" s="23" t="s">
        <v>81</v>
      </c>
      <c r="D545" s="21">
        <f>INDEX(Tragwerk!R44:T44,1,MATCH(Eingabe!$C$4,Tragwerk!$R$14:$T$14))</f>
        <v>1</v>
      </c>
      <c r="E545" s="19" t="s">
        <v>7</v>
      </c>
      <c r="F545" s="17"/>
      <c r="G545" s="527" t="s">
        <v>1324</v>
      </c>
      <c r="H545" s="527"/>
      <c r="I545" s="527"/>
      <c r="J545" s="527"/>
      <c r="K545" s="17"/>
    </row>
    <row r="546" spans="1:11" s="239" customFormat="1" ht="13" customHeight="1">
      <c r="A546" s="17"/>
      <c r="B546" s="17"/>
      <c r="C546" s="23" t="s">
        <v>82</v>
      </c>
      <c r="D546" s="21">
        <f>INDEX(Tragwerk!R45:T45,1,MATCH(Eingabe!$C$4,Tragwerk!$R$14:$T$14))</f>
        <v>1</v>
      </c>
      <c r="E546" s="19" t="s">
        <v>7</v>
      </c>
      <c r="F546" s="17"/>
      <c r="G546" s="527" t="s">
        <v>1324</v>
      </c>
      <c r="H546" s="527"/>
      <c r="I546" s="527"/>
      <c r="J546" s="527"/>
      <c r="K546" s="17"/>
    </row>
    <row r="547" spans="1:11" s="239" customFormat="1" ht="13" customHeight="1">
      <c r="A547" s="17"/>
      <c r="B547" s="17"/>
      <c r="C547" s="23" t="s">
        <v>83</v>
      </c>
      <c r="D547" s="21">
        <f>INDEX(Tragwerk!R46:T46,1,MATCH(Eingabe!$C$4,Tragwerk!$R$14:$T$14))</f>
        <v>1</v>
      </c>
      <c r="E547" s="19" t="s">
        <v>7</v>
      </c>
      <c r="F547" s="17"/>
      <c r="G547" s="527" t="s">
        <v>1324</v>
      </c>
      <c r="H547" s="527"/>
      <c r="I547" s="527"/>
      <c r="J547" s="527"/>
      <c r="K547" s="17"/>
    </row>
    <row r="548" spans="1:11" s="239" customFormat="1" ht="13" customHeight="1">
      <c r="A548" s="17"/>
      <c r="B548" s="17"/>
      <c r="C548" s="527" t="s">
        <v>77</v>
      </c>
      <c r="D548" s="21">
        <f>INDEX(Tragwerk!R48:T48,1,MATCH(Eingabe!$C$4,Tragwerk!$R$14:$T$14))</f>
        <v>64.767992094861128</v>
      </c>
      <c r="E548" s="19" t="s">
        <v>2</v>
      </c>
      <c r="F548" s="17"/>
      <c r="G548" s="527" t="s">
        <v>1324</v>
      </c>
      <c r="H548" s="527"/>
      <c r="I548" s="527"/>
      <c r="J548" s="527"/>
      <c r="K548" s="17"/>
    </row>
    <row r="549" spans="1:11" s="239" customFormat="1" ht="13" customHeight="1">
      <c r="A549" s="17"/>
      <c r="B549" s="17"/>
      <c r="C549" s="17" t="s">
        <v>12</v>
      </c>
      <c r="D549" s="21">
        <f>Tragwerk!$R$49</f>
        <v>1.2</v>
      </c>
      <c r="E549" s="19" t="s">
        <v>7</v>
      </c>
      <c r="F549" s="17"/>
      <c r="G549" s="527" t="s">
        <v>1324</v>
      </c>
      <c r="H549" s="527"/>
      <c r="I549" s="527"/>
      <c r="J549" s="527"/>
      <c r="K549" s="17"/>
    </row>
    <row r="550" spans="1:11" s="239" customFormat="1" ht="13" customHeight="1">
      <c r="A550" s="17"/>
      <c r="B550" s="17"/>
      <c r="C550" s="527" t="s">
        <v>71</v>
      </c>
      <c r="D550" s="21">
        <f>INDEX(Tragwerk!R50:T50,1,MATCH(Eingabe!$C$4,Tragwerk!$R$14:$T$14))</f>
        <v>53.973326745717607</v>
      </c>
      <c r="E550" s="19" t="s">
        <v>2</v>
      </c>
      <c r="F550" s="17"/>
      <c r="G550" s="527" t="s">
        <v>73</v>
      </c>
      <c r="H550" s="527"/>
      <c r="I550" s="527"/>
      <c r="J550" s="527"/>
      <c r="K550" s="17"/>
    </row>
    <row r="551" spans="1:11" s="239" customFormat="1" ht="13" customHeight="1">
      <c r="A551" s="17"/>
      <c r="B551" s="17"/>
      <c r="C551" s="527" t="s">
        <v>306</v>
      </c>
      <c r="D551" s="21">
        <f>Tragwerk!$R$60</f>
        <v>3.6775975449364311</v>
      </c>
      <c r="E551" s="19" t="s">
        <v>2</v>
      </c>
      <c r="F551" s="17"/>
      <c r="G551" s="527" t="s">
        <v>75</v>
      </c>
      <c r="H551" s="527"/>
      <c r="I551" s="527"/>
      <c r="J551" s="527"/>
      <c r="K551" s="17"/>
    </row>
    <row r="552" spans="1:11" s="239" customFormat="1" ht="13" customHeight="1">
      <c r="A552" s="17"/>
      <c r="B552" s="17"/>
      <c r="C552" s="25" t="s">
        <v>89</v>
      </c>
      <c r="D552" s="26">
        <f>D551/D550</f>
        <v>6.8137314608427799E-2</v>
      </c>
      <c r="E552" s="520" t="s">
        <v>7</v>
      </c>
      <c r="F552" s="27"/>
      <c r="G552" s="24" t="s">
        <v>46</v>
      </c>
      <c r="H552" s="527"/>
      <c r="I552" s="527"/>
      <c r="J552" s="527"/>
      <c r="K552" s="17"/>
    </row>
    <row r="553" spans="1:11" s="239" customFormat="1" ht="5.9" customHeight="1">
      <c r="A553" s="17"/>
      <c r="B553" s="17"/>
      <c r="C553" s="25"/>
      <c r="D553" s="26"/>
      <c r="E553" s="520"/>
      <c r="F553" s="27"/>
      <c r="G553" s="24"/>
      <c r="H553" s="527"/>
      <c r="I553" s="527"/>
      <c r="J553" s="527"/>
      <c r="K553" s="17"/>
    </row>
    <row r="554" spans="1:11" s="239" customFormat="1" ht="13" customHeight="1">
      <c r="A554" s="1032" t="s">
        <v>513</v>
      </c>
      <c r="B554" s="1032"/>
      <c r="C554" s="1032"/>
      <c r="D554" s="1032"/>
      <c r="E554" s="1032"/>
      <c r="F554" s="1032"/>
      <c r="G554" s="1032"/>
      <c r="H554" s="1032"/>
      <c r="I554" s="1032"/>
      <c r="J554" s="1032"/>
      <c r="K554" s="520"/>
    </row>
    <row r="555" spans="1:11" s="239" customFormat="1" ht="13" customHeight="1">
      <c r="A555" s="527"/>
      <c r="B555" s="235" t="s">
        <v>120</v>
      </c>
      <c r="C555" s="236"/>
      <c r="D555" s="527"/>
      <c r="E555" s="527"/>
      <c r="F555" s="527"/>
      <c r="G555" s="527"/>
      <c r="H555" s="527"/>
      <c r="I555" s="527"/>
      <c r="J555" s="527"/>
      <c r="K555" s="527"/>
    </row>
    <row r="556" spans="1:11" s="239" customFormat="1" ht="13" customHeight="1">
      <c r="A556" s="527"/>
      <c r="B556" s="17"/>
      <c r="C556" s="527" t="s">
        <v>118</v>
      </c>
      <c r="D556" s="21">
        <f>INDEX(Tragwerk!R65:T65,1,MATCH(Eingabe!$C$4,Tragwerk!$R$14:$T$14))</f>
        <v>764.11576346761751</v>
      </c>
      <c r="E556" s="19" t="s">
        <v>119</v>
      </c>
      <c r="F556" s="17"/>
      <c r="G556" s="527" t="s">
        <v>362</v>
      </c>
      <c r="H556" s="527"/>
      <c r="I556" s="527"/>
      <c r="J556" s="527"/>
      <c r="K556" s="527"/>
    </row>
    <row r="557" spans="1:11" s="239" customFormat="1" ht="13" customHeight="1">
      <c r="A557" s="527"/>
      <c r="B557" s="17"/>
      <c r="C557" s="17" t="s">
        <v>3</v>
      </c>
      <c r="D557" s="21">
        <f>Tragwerk!$R$66</f>
        <v>1.56</v>
      </c>
      <c r="E557" s="19" t="s">
        <v>7</v>
      </c>
      <c r="F557" s="17"/>
      <c r="G557" s="527" t="s">
        <v>359</v>
      </c>
      <c r="H557" s="527"/>
      <c r="I557" s="527"/>
      <c r="J557" s="527"/>
      <c r="K557" s="527"/>
    </row>
    <row r="558" spans="1:11" s="239" customFormat="1" ht="13" customHeight="1">
      <c r="A558" s="527"/>
      <c r="B558" s="17"/>
      <c r="C558" s="527" t="s">
        <v>65</v>
      </c>
      <c r="D558" s="21">
        <f>INDEX(Tragwerk!R67:T67,1,MATCH(Eingabe!$C$4,Tragwerk!$R$14:$T$14))</f>
        <v>30.613612318414162</v>
      </c>
      <c r="E558" s="19" t="s">
        <v>2</v>
      </c>
      <c r="F558" s="17"/>
      <c r="G558" s="527" t="s">
        <v>73</v>
      </c>
      <c r="H558" s="527"/>
      <c r="I558" s="527"/>
      <c r="J558" s="527"/>
      <c r="K558" s="527"/>
    </row>
    <row r="559" spans="1:11" s="239" customFormat="1" ht="13" customHeight="1">
      <c r="A559" s="527"/>
      <c r="B559" s="17"/>
      <c r="C559" s="527" t="s">
        <v>307</v>
      </c>
      <c r="D559" s="21">
        <f>Tragwerk!$R$68</f>
        <v>29.921271248249965</v>
      </c>
      <c r="E559" s="19" t="s">
        <v>2</v>
      </c>
      <c r="F559" s="17"/>
      <c r="G559" s="527" t="s">
        <v>75</v>
      </c>
      <c r="H559" s="527"/>
      <c r="I559" s="527"/>
      <c r="J559" s="527"/>
      <c r="K559" s="527"/>
    </row>
    <row r="560" spans="1:11" s="239" customFormat="1" ht="13" customHeight="1">
      <c r="A560" s="527"/>
      <c r="B560" s="17"/>
      <c r="C560" s="25" t="s">
        <v>90</v>
      </c>
      <c r="D560" s="26">
        <f>D559/D558</f>
        <v>0.97738453525303992</v>
      </c>
      <c r="E560" s="520" t="s">
        <v>7</v>
      </c>
      <c r="F560" s="27"/>
      <c r="G560" s="24" t="s">
        <v>46</v>
      </c>
      <c r="H560" s="527"/>
      <c r="I560" s="527"/>
      <c r="J560" s="527"/>
      <c r="K560" s="527"/>
    </row>
    <row r="561" spans="1:11" s="239" customFormat="1" ht="5.9" customHeight="1">
      <c r="A561" s="527"/>
      <c r="B561" s="17"/>
      <c r="C561" s="25"/>
      <c r="D561" s="26"/>
      <c r="E561" s="520"/>
      <c r="F561" s="27"/>
      <c r="G561" s="24"/>
      <c r="H561" s="527"/>
      <c r="I561" s="527"/>
      <c r="J561" s="527"/>
      <c r="K561" s="527"/>
    </row>
    <row r="562" spans="1:11" s="239" customFormat="1" ht="13" customHeight="1">
      <c r="A562" s="527"/>
      <c r="B562" s="238" t="s">
        <v>9</v>
      </c>
      <c r="C562" s="17"/>
      <c r="D562" s="17"/>
      <c r="E562" s="17"/>
      <c r="F562" s="527"/>
      <c r="G562" s="527"/>
      <c r="H562" s="527"/>
      <c r="I562" s="527"/>
      <c r="J562" s="527"/>
      <c r="K562" s="527"/>
    </row>
    <row r="563" spans="1:11" s="239" customFormat="1" ht="13" customHeight="1">
      <c r="A563" s="527"/>
      <c r="B563" s="17"/>
      <c r="C563" s="4" t="s">
        <v>10</v>
      </c>
      <c r="D563" s="18">
        <f>Tragwerk!$R$71</f>
        <v>2.5</v>
      </c>
      <c r="E563" s="19" t="s">
        <v>7</v>
      </c>
      <c r="F563" s="17"/>
      <c r="G563" s="17" t="s">
        <v>509</v>
      </c>
      <c r="H563" s="527"/>
      <c r="I563" s="527"/>
      <c r="J563" s="527"/>
      <c r="K563" s="527"/>
    </row>
    <row r="564" spans="1:11" s="239" customFormat="1" ht="13" customHeight="1">
      <c r="A564" s="17"/>
      <c r="B564" s="17"/>
      <c r="C564" s="527" t="s">
        <v>18</v>
      </c>
      <c r="D564" s="21">
        <f>INDEX(Tragwerk!R72:T72,1,MATCH(Eingabe!$C$4,Tragwerk!$R$14:$T$14))</f>
        <v>161.91998023715283</v>
      </c>
      <c r="E564" s="237" t="s">
        <v>2</v>
      </c>
      <c r="F564" s="17"/>
      <c r="G564" s="527" t="s">
        <v>1324</v>
      </c>
      <c r="H564" s="14"/>
      <c r="I564" s="14"/>
      <c r="J564" s="14"/>
      <c r="K564" s="17"/>
    </row>
    <row r="565" spans="1:11" s="239" customFormat="1" ht="13" customHeight="1">
      <c r="A565" s="17"/>
      <c r="B565" s="17"/>
      <c r="C565" s="17" t="s">
        <v>12</v>
      </c>
      <c r="D565" s="21">
        <f>Tragwerk!$R$73</f>
        <v>1.2</v>
      </c>
      <c r="E565" s="19" t="s">
        <v>7</v>
      </c>
      <c r="F565" s="17"/>
      <c r="G565" s="527" t="s">
        <v>1324</v>
      </c>
      <c r="H565" s="527"/>
      <c r="I565" s="18"/>
      <c r="J565" s="17"/>
      <c r="K565" s="17"/>
    </row>
    <row r="566" spans="1:11" s="239" customFormat="1" ht="13" customHeight="1">
      <c r="A566" s="17"/>
      <c r="B566" s="17"/>
      <c r="C566" s="17" t="s">
        <v>72</v>
      </c>
      <c r="D566" s="21">
        <f>INDEX(Tragwerk!R74:T74,1,MATCH(Eingabe!$C$4,Tragwerk!$R$14:$T$14))</f>
        <v>134.93331686429403</v>
      </c>
      <c r="E566" s="19" t="s">
        <v>2</v>
      </c>
      <c r="F566" s="17"/>
      <c r="G566" s="527" t="s">
        <v>73</v>
      </c>
      <c r="H566" s="527"/>
      <c r="I566" s="18"/>
      <c r="J566" s="17"/>
      <c r="K566" s="17"/>
    </row>
    <row r="567" spans="1:11" s="239" customFormat="1" ht="13" customHeight="1">
      <c r="A567" s="17"/>
      <c r="B567" s="17"/>
      <c r="C567" s="527" t="s">
        <v>307</v>
      </c>
      <c r="D567" s="21">
        <f>Tragwerk!$R$68</f>
        <v>29.921271248249965</v>
      </c>
      <c r="E567" s="19" t="s">
        <v>2</v>
      </c>
      <c r="F567" s="17"/>
      <c r="G567" s="527" t="s">
        <v>75</v>
      </c>
      <c r="H567" s="527"/>
      <c r="I567" s="18"/>
      <c r="J567" s="17"/>
      <c r="K567" s="17"/>
    </row>
    <row r="568" spans="1:11" s="239" customFormat="1" ht="13" customHeight="1">
      <c r="A568" s="17"/>
      <c r="B568" s="17"/>
      <c r="C568" s="25" t="s">
        <v>91</v>
      </c>
      <c r="D568" s="26">
        <f>D567/D566</f>
        <v>0.22174857880609702</v>
      </c>
      <c r="E568" s="520" t="s">
        <v>7</v>
      </c>
      <c r="F568" s="27"/>
      <c r="G568" s="24" t="s">
        <v>46</v>
      </c>
      <c r="H568" s="527"/>
      <c r="I568" s="18"/>
      <c r="J568" s="17"/>
      <c r="K568" s="17"/>
    </row>
    <row r="569" spans="1:11" s="239" customFormat="1" ht="5.9" customHeight="1">
      <c r="A569" s="17"/>
      <c r="B569" s="17"/>
      <c r="C569" s="25"/>
      <c r="D569" s="26"/>
      <c r="E569" s="520"/>
      <c r="F569" s="27"/>
      <c r="G569" s="24"/>
      <c r="H569" s="527"/>
      <c r="I569" s="18"/>
      <c r="J569" s="17"/>
      <c r="K569" s="17"/>
    </row>
    <row r="570" spans="1:11" s="239" customFormat="1" ht="13" customHeight="1">
      <c r="A570" s="17"/>
      <c r="B570" s="238" t="s">
        <v>11</v>
      </c>
      <c r="C570" s="25"/>
      <c r="D570" s="26"/>
      <c r="E570" s="520"/>
      <c r="F570" s="27"/>
      <c r="G570" s="24"/>
      <c r="H570" s="527"/>
      <c r="I570" s="18"/>
      <c r="J570" s="17"/>
      <c r="K570" s="17"/>
    </row>
    <row r="571" spans="1:11" s="239" customFormat="1" ht="13" customHeight="1">
      <c r="A571" s="17"/>
      <c r="B571" s="17"/>
      <c r="C571" s="234" t="s">
        <v>21</v>
      </c>
      <c r="D571" s="450">
        <f>INDEX(Tragwerk!R76:T76,1,MATCH(Eingabe!$C$4,Tragwerk!$B$14:$D$14))</f>
        <v>3.859224924939799E-2</v>
      </c>
      <c r="E571" s="19" t="s">
        <v>7</v>
      </c>
      <c r="F571" s="27"/>
      <c r="G571" s="527" t="s">
        <v>1324</v>
      </c>
      <c r="H571" s="527"/>
      <c r="I571" s="18"/>
      <c r="J571" s="17"/>
      <c r="K571" s="17"/>
    </row>
    <row r="572" spans="1:11" s="239" customFormat="1" ht="13" customHeight="1">
      <c r="A572" s="17"/>
      <c r="B572" s="17"/>
      <c r="C572" s="234" t="s">
        <v>134</v>
      </c>
      <c r="D572" s="450">
        <f>INDEX(Tragwerk!R77:T77,1,MATCH(Eingabe!$C$4,Tragwerk!$B$14:$D$14))</f>
        <v>4.8019394289709035E-2</v>
      </c>
      <c r="E572" s="19" t="s">
        <v>7</v>
      </c>
      <c r="F572" s="27"/>
      <c r="G572" s="527" t="s">
        <v>1324</v>
      </c>
      <c r="H572" s="527"/>
      <c r="I572" s="18"/>
      <c r="J572" s="17"/>
      <c r="K572" s="17"/>
    </row>
    <row r="573" spans="1:11" s="239" customFormat="1" ht="14.15" customHeight="1">
      <c r="A573" s="17"/>
      <c r="B573" s="17"/>
      <c r="C573" s="234" t="s">
        <v>481</v>
      </c>
      <c r="D573" s="21">
        <f>INDEX(Tragwerk!R78:T78,1,MATCH(Eingabe!$C$4,Tragwerk!$B$14:$D$14))</f>
        <v>471.05127459020582</v>
      </c>
      <c r="E573" s="237" t="s">
        <v>2</v>
      </c>
      <c r="F573" s="27"/>
      <c r="G573" s="527" t="s">
        <v>1324</v>
      </c>
      <c r="H573" s="527"/>
      <c r="I573" s="18"/>
      <c r="J573" s="17"/>
      <c r="K573" s="17"/>
    </row>
    <row r="574" spans="1:11" s="239" customFormat="1" ht="14.15" customHeight="1">
      <c r="A574" s="17"/>
      <c r="B574" s="17"/>
      <c r="C574" s="234" t="s">
        <v>482</v>
      </c>
      <c r="D574" s="20">
        <f>INDEX(Tragwerk!R79:T79,1,MATCH(Eingabe!$C$4,Tragwerk!$B$14:$D$14))</f>
        <v>3976200</v>
      </c>
      <c r="E574" s="19" t="s">
        <v>16</v>
      </c>
      <c r="F574" s="27"/>
      <c r="G574" s="527" t="s">
        <v>1324</v>
      </c>
      <c r="H574" s="527"/>
      <c r="I574" s="18"/>
      <c r="J574" s="17"/>
      <c r="K574" s="17"/>
    </row>
    <row r="575" spans="1:11" s="239" customFormat="1" ht="13" customHeight="1">
      <c r="A575" s="17"/>
      <c r="B575" s="17"/>
      <c r="C575" s="234" t="s">
        <v>483</v>
      </c>
      <c r="D575" s="20">
        <f>INDEX(Tragwerk!R80:T80,1,MATCH(Eingabe!$C$4,Tragwerk!$B$14:$D$14))</f>
        <v>564000</v>
      </c>
      <c r="E575" s="19" t="s">
        <v>16</v>
      </c>
      <c r="F575" s="27"/>
      <c r="G575" s="527" t="s">
        <v>1324</v>
      </c>
      <c r="H575" s="527"/>
      <c r="I575" s="18"/>
      <c r="J575" s="17"/>
      <c r="K575" s="17"/>
    </row>
    <row r="576" spans="1:11" s="239" customFormat="1" ht="13" customHeight="1">
      <c r="A576" s="17"/>
      <c r="B576" s="17"/>
      <c r="C576" s="234" t="s">
        <v>485</v>
      </c>
      <c r="D576" s="21">
        <f>INDEX(Tragwerk!R82:T82,1,MATCH(Eingabe!$C$4,Tragwerk!$B$14:$D$14))</f>
        <v>2.6551836094703507</v>
      </c>
      <c r="E576" s="19" t="s">
        <v>7</v>
      </c>
      <c r="F576" s="27"/>
      <c r="G576" s="527" t="s">
        <v>1324</v>
      </c>
      <c r="H576" s="527"/>
      <c r="I576" s="18"/>
      <c r="J576" s="17"/>
      <c r="K576" s="17"/>
    </row>
    <row r="577" spans="1:11" s="239" customFormat="1" ht="13" customHeight="1">
      <c r="A577" s="17"/>
      <c r="B577" s="17"/>
      <c r="C577" s="234" t="s">
        <v>488</v>
      </c>
      <c r="D577" s="21">
        <f>Tragwerk!R85</f>
        <v>1.2</v>
      </c>
      <c r="E577" s="19" t="s">
        <v>7</v>
      </c>
      <c r="F577" s="27"/>
      <c r="G577" s="527" t="s">
        <v>1324</v>
      </c>
      <c r="H577" s="527"/>
      <c r="I577" s="18"/>
      <c r="J577" s="17"/>
      <c r="K577" s="17"/>
    </row>
    <row r="578" spans="1:11" s="239" customFormat="1" ht="13" customHeight="1">
      <c r="A578" s="17"/>
      <c r="B578" s="17"/>
      <c r="C578" s="234" t="s">
        <v>489</v>
      </c>
      <c r="D578" s="21">
        <f>INDEX(Tragwerk!R86:T86,1,MATCH(Eingabe!$C$4,Tragwerk!$B$14:$D$14))</f>
        <v>212.88980825736712</v>
      </c>
      <c r="E578" s="237" t="s">
        <v>2</v>
      </c>
      <c r="F578" s="27"/>
      <c r="G578" s="527" t="s">
        <v>1324</v>
      </c>
      <c r="H578" s="527"/>
      <c r="I578" s="18"/>
      <c r="J578" s="17"/>
      <c r="K578" s="17"/>
    </row>
    <row r="579" spans="1:11" s="239" customFormat="1" ht="13" customHeight="1">
      <c r="A579" s="17"/>
      <c r="B579" s="17"/>
      <c r="C579" s="234" t="s">
        <v>12</v>
      </c>
      <c r="D579" s="21">
        <f>Tragwerk!R87</f>
        <v>1.2</v>
      </c>
      <c r="E579" s="19" t="s">
        <v>7</v>
      </c>
      <c r="F579" s="27"/>
      <c r="G579" s="527" t="s">
        <v>1324</v>
      </c>
      <c r="H579" s="527"/>
      <c r="I579" s="18"/>
      <c r="J579" s="17"/>
      <c r="K579" s="17"/>
    </row>
    <row r="580" spans="1:11" s="239" customFormat="1" ht="13" customHeight="1">
      <c r="A580" s="17"/>
      <c r="B580" s="17"/>
      <c r="C580" s="234" t="s">
        <v>507</v>
      </c>
      <c r="D580" s="21">
        <f>INDEX(Tragwerk!R88:T88,1,MATCH(Eingabe!$C$4,Tragwerk!$B$14:$D$14))</f>
        <v>177.40817354780594</v>
      </c>
      <c r="E580" s="237" t="s">
        <v>2</v>
      </c>
      <c r="F580" s="27"/>
      <c r="G580" s="527" t="s">
        <v>73</v>
      </c>
      <c r="H580" s="527"/>
      <c r="I580" s="18"/>
      <c r="J580" s="17"/>
      <c r="K580" s="17"/>
    </row>
    <row r="581" spans="1:11" s="239" customFormat="1" ht="13" customHeight="1">
      <c r="A581" s="17"/>
      <c r="B581" s="17"/>
      <c r="C581" s="527" t="s">
        <v>307</v>
      </c>
      <c r="D581" s="21">
        <f>Tragwerk!R91</f>
        <v>29.921271248249965</v>
      </c>
      <c r="E581" s="237" t="s">
        <v>2</v>
      </c>
      <c r="F581" s="27"/>
      <c r="G581" s="527" t="s">
        <v>75</v>
      </c>
      <c r="H581" s="527"/>
      <c r="I581" s="18"/>
      <c r="J581" s="17"/>
      <c r="K581" s="17"/>
    </row>
    <row r="582" spans="1:11" s="239" customFormat="1" ht="13" customHeight="1">
      <c r="A582" s="17"/>
      <c r="B582" s="17"/>
      <c r="C582" s="25" t="s">
        <v>508</v>
      </c>
      <c r="D582" s="26">
        <f>D581/D580</f>
        <v>0.16865779433881112</v>
      </c>
      <c r="E582" s="520" t="s">
        <v>7</v>
      </c>
      <c r="F582" s="27"/>
      <c r="G582" s="24" t="s">
        <v>46</v>
      </c>
      <c r="H582" s="527"/>
      <c r="I582" s="18"/>
      <c r="J582" s="17"/>
      <c r="K582" s="17"/>
    </row>
    <row r="583" spans="1:11" s="239" customFormat="1" ht="5.9" customHeight="1">
      <c r="A583" s="17"/>
      <c r="B583" s="17"/>
      <c r="C583" s="25"/>
      <c r="D583" s="26"/>
      <c r="E583" s="520"/>
      <c r="F583" s="27"/>
      <c r="G583" s="24"/>
      <c r="H583" s="527"/>
      <c r="I583" s="18"/>
      <c r="J583" s="17"/>
      <c r="K583" s="17"/>
    </row>
    <row r="584" spans="1:11" s="239" customFormat="1" ht="13" customHeight="1">
      <c r="A584" s="1032" t="s">
        <v>518</v>
      </c>
      <c r="B584" s="1032"/>
      <c r="C584" s="1032"/>
      <c r="D584" s="1032"/>
      <c r="E584" s="1032"/>
      <c r="F584" s="1032"/>
      <c r="G584" s="1032"/>
      <c r="H584" s="1032"/>
      <c r="I584" s="1032"/>
      <c r="J584" s="1032"/>
      <c r="K584" s="520"/>
    </row>
    <row r="585" spans="1:11" s="239" customFormat="1" ht="5.9" customHeight="1">
      <c r="A585" s="17"/>
      <c r="B585" s="17"/>
      <c r="C585" s="23"/>
      <c r="D585" s="18"/>
      <c r="E585" s="19"/>
      <c r="F585" s="17"/>
      <c r="G585" s="527"/>
      <c r="H585" s="20"/>
      <c r="I585" s="17"/>
      <c r="J585" s="17"/>
      <c r="K585" s="17"/>
    </row>
    <row r="586" spans="1:11" s="239" customFormat="1" ht="13" customHeight="1">
      <c r="A586" s="17"/>
      <c r="B586" s="17"/>
      <c r="C586" s="23" t="s">
        <v>85</v>
      </c>
      <c r="D586" s="21">
        <f>INDEX(Tragwerk!R96:T96,1,MATCH(Eingabe!$C$4,Tragwerk!$R$14:$T$14))</f>
        <v>6.8137314608427799E-2</v>
      </c>
      <c r="E586" s="19" t="s">
        <v>7</v>
      </c>
      <c r="F586" s="17"/>
      <c r="G586" s="527" t="s">
        <v>515</v>
      </c>
      <c r="H586" s="20"/>
      <c r="I586" s="17"/>
      <c r="J586" s="17"/>
      <c r="K586" s="17"/>
    </row>
    <row r="587" spans="1:11" s="239" customFormat="1" ht="13" customHeight="1">
      <c r="A587" s="17"/>
      <c r="B587" s="17"/>
      <c r="C587" s="23" t="s">
        <v>87</v>
      </c>
      <c r="D587" s="21">
        <f>INDEX(Tragwerk!R97:T97,1,MATCH(Eingabe!$C$4,Tragwerk!$R$14:$T$14))</f>
        <v>0.97738453525303992</v>
      </c>
      <c r="E587" s="19" t="s">
        <v>7</v>
      </c>
      <c r="F587" s="17"/>
      <c r="G587" s="527" t="s">
        <v>519</v>
      </c>
      <c r="H587" s="20"/>
      <c r="I587" s="17"/>
      <c r="J587" s="17"/>
      <c r="K587" s="17"/>
    </row>
    <row r="588" spans="1:11" s="239" customFormat="1" ht="1.75" customHeight="1">
      <c r="A588" s="17"/>
      <c r="B588" s="17"/>
      <c r="C588" s="23"/>
      <c r="D588" s="21"/>
      <c r="E588" s="19"/>
      <c r="F588" s="17"/>
      <c r="G588" s="17"/>
      <c r="H588" s="20"/>
      <c r="I588" s="17"/>
      <c r="J588" s="17"/>
      <c r="K588" s="17"/>
    </row>
    <row r="589" spans="1:11" s="239" customFormat="1" ht="13" customHeight="1">
      <c r="A589" s="17"/>
      <c r="B589" s="17"/>
      <c r="C589" s="25" t="s">
        <v>548</v>
      </c>
      <c r="D589" s="26">
        <f>INDEX(Tragwerk!R99:T99,1,MATCH(Eingabe!$C$4,Tragwerk!$R$14:$T$14))</f>
        <v>0.87126820821788986</v>
      </c>
      <c r="E589" s="520" t="s">
        <v>7</v>
      </c>
      <c r="F589" s="27"/>
      <c r="G589" s="27" t="s">
        <v>1324</v>
      </c>
      <c r="H589" s="20"/>
      <c r="I589" s="17"/>
      <c r="J589" s="17"/>
      <c r="K589" s="17"/>
    </row>
    <row r="590" spans="1:11" s="239" customFormat="1" ht="5.9" customHeight="1">
      <c r="A590" s="17"/>
      <c r="B590" s="17"/>
      <c r="C590" s="23"/>
      <c r="D590" s="18"/>
      <c r="E590" s="19"/>
      <c r="F590" s="17"/>
      <c r="G590" s="527"/>
      <c r="H590" s="20"/>
      <c r="I590" s="17"/>
      <c r="J590" s="17"/>
      <c r="K590" s="17"/>
    </row>
    <row r="591" spans="1:11" s="239" customFormat="1" ht="14.15" customHeight="1">
      <c r="A591" s="1033" t="s">
        <v>301</v>
      </c>
      <c r="B591" s="1033"/>
      <c r="C591" s="1033"/>
      <c r="D591" s="1033"/>
      <c r="E591" s="1033"/>
      <c r="F591" s="1033"/>
      <c r="G591" s="1033"/>
      <c r="H591" s="1033"/>
      <c r="I591" s="1033"/>
      <c r="J591" s="1033"/>
      <c r="K591" s="502"/>
    </row>
    <row r="592" spans="1:11" s="239" customFormat="1" ht="5.9" customHeight="1">
      <c r="A592" s="4"/>
      <c r="B592" s="240"/>
      <c r="C592" s="240"/>
      <c r="D592" s="240"/>
      <c r="E592" s="240"/>
      <c r="F592" s="240"/>
      <c r="G592" s="240"/>
      <c r="H592" s="240"/>
      <c r="I592" s="240"/>
      <c r="J592" s="240"/>
      <c r="K592" s="4"/>
    </row>
    <row r="593" spans="1:11" s="239" customFormat="1" ht="13" customHeight="1">
      <c r="A593" s="1032" t="s">
        <v>514</v>
      </c>
      <c r="B593" s="1032"/>
      <c r="C593" s="1032"/>
      <c r="D593" s="1032"/>
      <c r="E593" s="1032"/>
      <c r="F593" s="1032"/>
      <c r="G593" s="1032"/>
      <c r="H593" s="1032"/>
      <c r="I593" s="1032"/>
      <c r="J593" s="1032"/>
      <c r="K593" s="520"/>
    </row>
    <row r="594" spans="1:11" s="239" customFormat="1" ht="13" customHeight="1">
      <c r="A594" s="17"/>
      <c r="B594" s="14" t="s">
        <v>1</v>
      </c>
      <c r="C594" s="232"/>
      <c r="D594" s="232"/>
      <c r="E594" s="232"/>
      <c r="F594" s="17"/>
      <c r="G594" s="527"/>
      <c r="H594" s="527"/>
      <c r="I594" s="527"/>
      <c r="J594" s="527"/>
      <c r="K594" s="17"/>
    </row>
    <row r="595" spans="1:11" s="239" customFormat="1" ht="13" customHeight="1">
      <c r="A595" s="17"/>
      <c r="B595" s="17"/>
      <c r="C595" s="527" t="s">
        <v>4</v>
      </c>
      <c r="D595" s="21">
        <f>INDEX(Kappe!Q17:S17,1,MATCH(Eingabe!$C$4,Kappe!$Q$12:$S$12))</f>
        <v>247</v>
      </c>
      <c r="E595" s="19" t="s">
        <v>2</v>
      </c>
      <c r="F595" s="17"/>
      <c r="G595" s="527" t="s">
        <v>361</v>
      </c>
      <c r="H595" s="527"/>
      <c r="I595" s="527"/>
      <c r="J595" s="527"/>
      <c r="K595" s="17"/>
    </row>
    <row r="596" spans="1:11" s="239" customFormat="1" ht="13" customHeight="1">
      <c r="A596" s="17"/>
      <c r="B596" s="17"/>
      <c r="C596" s="17" t="s">
        <v>3</v>
      </c>
      <c r="D596" s="21">
        <f>Kappe!$Q$18</f>
        <v>1.87</v>
      </c>
      <c r="E596" s="19" t="s">
        <v>7</v>
      </c>
      <c r="F596" s="17"/>
      <c r="G596" s="527" t="s">
        <v>359</v>
      </c>
      <c r="H596" s="527"/>
      <c r="I596" s="527"/>
      <c r="J596" s="527"/>
      <c r="K596" s="17"/>
    </row>
    <row r="597" spans="1:11" s="239" customFormat="1" ht="13" customHeight="1">
      <c r="A597" s="17"/>
      <c r="B597" s="17"/>
      <c r="C597" s="527" t="s">
        <v>64</v>
      </c>
      <c r="D597" s="21">
        <f>INDEX(Kappe!Q19:S19,1,MATCH(Eingabe!$C$4,Kappe!$Q$12:$S$12))</f>
        <v>132.08556149732618</v>
      </c>
      <c r="E597" s="19" t="s">
        <v>2</v>
      </c>
      <c r="F597" s="17"/>
      <c r="G597" s="527" t="s">
        <v>73</v>
      </c>
      <c r="H597" s="527"/>
      <c r="I597" s="527"/>
      <c r="J597" s="527"/>
      <c r="K597" s="17"/>
    </row>
    <row r="598" spans="1:11" s="239" customFormat="1" ht="13" customHeight="1">
      <c r="A598" s="17"/>
      <c r="B598" s="17"/>
      <c r="C598" s="527" t="s">
        <v>306</v>
      </c>
      <c r="D598" s="21">
        <f>Kappe!$Q$53</f>
        <v>3.6775975449364311</v>
      </c>
      <c r="E598" s="19" t="s">
        <v>2</v>
      </c>
      <c r="F598" s="17"/>
      <c r="G598" s="527" t="s">
        <v>75</v>
      </c>
      <c r="H598" s="527"/>
      <c r="I598" s="527"/>
      <c r="J598" s="527"/>
      <c r="K598" s="17"/>
    </row>
    <row r="599" spans="1:11" s="239" customFormat="1" ht="13" customHeight="1">
      <c r="A599" s="17"/>
      <c r="B599" s="17"/>
      <c r="C599" s="25" t="s">
        <v>88</v>
      </c>
      <c r="D599" s="26">
        <f>D598/D597</f>
        <v>2.7842540117534929E-2</v>
      </c>
      <c r="E599" s="520" t="s">
        <v>7</v>
      </c>
      <c r="F599" s="27"/>
      <c r="G599" s="24" t="s">
        <v>46</v>
      </c>
      <c r="H599" s="527"/>
      <c r="I599" s="527"/>
      <c r="J599" s="527"/>
      <c r="K599" s="17"/>
    </row>
    <row r="600" spans="1:11" s="239" customFormat="1" ht="5.9" customHeight="1">
      <c r="A600" s="4"/>
      <c r="B600" s="240"/>
      <c r="C600" s="240"/>
      <c r="D600" s="240"/>
      <c r="E600" s="240"/>
      <c r="F600" s="240"/>
      <c r="G600" s="240"/>
      <c r="H600" s="240"/>
      <c r="I600" s="240"/>
      <c r="J600" s="240"/>
      <c r="K600" s="4"/>
    </row>
    <row r="601" spans="1:11" s="239" customFormat="1" ht="13" customHeight="1">
      <c r="A601" s="224"/>
      <c r="B601" s="233" t="s">
        <v>5</v>
      </c>
      <c r="C601" s="19"/>
      <c r="D601" s="19"/>
      <c r="E601" s="17"/>
      <c r="F601" s="17"/>
      <c r="G601" s="527"/>
      <c r="H601" s="527"/>
      <c r="I601" s="225"/>
      <c r="J601" s="225"/>
      <c r="K601" s="224"/>
    </row>
    <row r="602" spans="1:11" s="239" customFormat="1" ht="13" customHeight="1">
      <c r="A602" s="224"/>
      <c r="B602" s="233"/>
      <c r="C602" s="234" t="s">
        <v>115</v>
      </c>
      <c r="D602" s="18">
        <f>INDEX(Kappe!Q21:S21,1,MATCH(Eingabe!$C$4,Kappe!$Q$12:$S$12))</f>
        <v>565</v>
      </c>
      <c r="E602" s="19" t="s">
        <v>16</v>
      </c>
      <c r="F602" s="17"/>
      <c r="G602" s="528" t="s">
        <v>137</v>
      </c>
      <c r="H602" s="527"/>
      <c r="I602" s="225"/>
      <c r="J602" s="225"/>
      <c r="K602" s="224"/>
    </row>
    <row r="603" spans="1:11" s="239" customFormat="1" ht="13" customHeight="1">
      <c r="A603" s="224"/>
      <c r="B603" s="233"/>
      <c r="C603" s="666" t="s">
        <v>1152</v>
      </c>
      <c r="D603" s="669">
        <f>Eingabe!N3</f>
        <v>1</v>
      </c>
      <c r="E603" s="19" t="s">
        <v>7</v>
      </c>
      <c r="F603" s="17"/>
      <c r="G603" s="527" t="s">
        <v>1151</v>
      </c>
      <c r="H603" s="527"/>
      <c r="I603" s="225"/>
      <c r="J603" s="225"/>
      <c r="K603" s="224"/>
    </row>
    <row r="604" spans="1:11" s="239" customFormat="1" ht="13" customHeight="1">
      <c r="A604" s="224"/>
      <c r="B604" s="233"/>
      <c r="C604" s="234" t="s">
        <v>6</v>
      </c>
      <c r="D604" s="21">
        <f>INDEX(Kappe!Q22:S22,1,MATCH(Eingabe!$C$4,Kappe!$Q$12:$S$12))</f>
        <v>101.7</v>
      </c>
      <c r="E604" s="19" t="s">
        <v>2</v>
      </c>
      <c r="F604" s="17"/>
      <c r="G604" s="527" t="s">
        <v>1324</v>
      </c>
      <c r="H604" s="527"/>
      <c r="I604" s="225"/>
      <c r="J604" s="225"/>
      <c r="K604" s="224"/>
    </row>
    <row r="605" spans="1:11" s="239" customFormat="1" ht="13" customHeight="1">
      <c r="A605" s="224"/>
      <c r="B605" s="233"/>
      <c r="C605" s="234" t="s">
        <v>108</v>
      </c>
      <c r="D605" s="18">
        <f>Kappe!Q23</f>
        <v>1.2</v>
      </c>
      <c r="E605" s="19" t="s">
        <v>7</v>
      </c>
      <c r="F605" s="17"/>
      <c r="G605" s="527" t="s">
        <v>1324</v>
      </c>
      <c r="H605" s="527"/>
      <c r="I605" s="225"/>
      <c r="J605" s="225"/>
      <c r="K605" s="224"/>
    </row>
    <row r="606" spans="1:11" s="239" customFormat="1" ht="13" customHeight="1">
      <c r="A606" s="224"/>
      <c r="B606" s="233"/>
      <c r="C606" s="234" t="s">
        <v>123</v>
      </c>
      <c r="D606" s="21">
        <f>INDEX(Kappe!Q24:S24,1,MATCH(Eingabe!$C$4,Kappe!$Q$12:$S$12))</f>
        <v>84.75</v>
      </c>
      <c r="E606" s="19" t="s">
        <v>2</v>
      </c>
      <c r="F606" s="17"/>
      <c r="G606" s="527" t="s">
        <v>73</v>
      </c>
      <c r="H606" s="527"/>
      <c r="I606" s="225"/>
      <c r="J606" s="225"/>
      <c r="K606" s="224"/>
    </row>
    <row r="607" spans="1:11" s="239" customFormat="1" ht="13" customHeight="1">
      <c r="A607" s="224"/>
      <c r="B607" s="233"/>
      <c r="C607" s="527" t="s">
        <v>306</v>
      </c>
      <c r="D607" s="21">
        <f>Kappe!$Q$53</f>
        <v>3.6775975449364311</v>
      </c>
      <c r="E607" s="19" t="s">
        <v>2</v>
      </c>
      <c r="F607" s="17"/>
      <c r="G607" s="527" t="s">
        <v>75</v>
      </c>
      <c r="H607" s="527"/>
      <c r="I607" s="225"/>
      <c r="J607" s="225"/>
      <c r="K607" s="224"/>
    </row>
    <row r="608" spans="1:11" s="239" customFormat="1" ht="13" customHeight="1">
      <c r="A608" s="224"/>
      <c r="B608" s="233"/>
      <c r="C608" s="25" t="s">
        <v>122</v>
      </c>
      <c r="D608" s="26">
        <f>D607/D606</f>
        <v>4.3393481356182075E-2</v>
      </c>
      <c r="E608" s="520" t="s">
        <v>7</v>
      </c>
      <c r="F608" s="27"/>
      <c r="G608" s="24" t="s">
        <v>46</v>
      </c>
      <c r="H608" s="527"/>
      <c r="I608" s="225"/>
      <c r="J608" s="225"/>
      <c r="K608" s="224"/>
    </row>
    <row r="609" spans="1:11" s="239" customFormat="1" ht="6.8" customHeight="1">
      <c r="A609" s="228"/>
      <c r="B609" s="242"/>
      <c r="C609" s="242"/>
      <c r="D609" s="242"/>
      <c r="E609" s="242"/>
      <c r="F609" s="242"/>
      <c r="G609" s="242"/>
      <c r="H609" s="242"/>
      <c r="I609" s="242"/>
      <c r="J609" s="242"/>
      <c r="K609" s="228"/>
    </row>
    <row r="610" spans="1:11" s="239" customFormat="1" ht="13" customHeight="1">
      <c r="A610" s="224"/>
      <c r="B610" s="233" t="s">
        <v>8</v>
      </c>
      <c r="C610" s="19"/>
      <c r="D610" s="19"/>
      <c r="E610" s="17"/>
      <c r="F610" s="17"/>
      <c r="G610" s="527"/>
      <c r="H610" s="527"/>
      <c r="I610" s="527"/>
      <c r="J610" s="225"/>
      <c r="K610" s="224"/>
    </row>
    <row r="611" spans="1:11" s="239" customFormat="1" ht="14.15" customHeight="1">
      <c r="A611" s="224"/>
      <c r="B611" s="17"/>
      <c r="C611" s="527" t="s">
        <v>78</v>
      </c>
      <c r="D611" s="21">
        <f>INDEX(Kappe!Q27:S27,1,MATCH(Eingabe!$C$4,Kappe!$Q$12:$S$12))</f>
        <v>30.846077222233625</v>
      </c>
      <c r="E611" s="19" t="s">
        <v>2</v>
      </c>
      <c r="F611" s="17"/>
      <c r="G611" s="527" t="s">
        <v>1324</v>
      </c>
      <c r="H611" s="527"/>
      <c r="I611" s="527"/>
      <c r="J611" s="225"/>
      <c r="K611" s="224"/>
    </row>
    <row r="612" spans="1:11" s="239" customFormat="1" ht="14.15" customHeight="1">
      <c r="A612" s="224"/>
      <c r="B612" s="17"/>
      <c r="C612" s="527" t="s">
        <v>79</v>
      </c>
      <c r="D612" s="20">
        <f>INDEX(Kappe!Q28:S28,1,MATCH(Eingabe!$C$4,Kappe!$Q$12:$S$12))</f>
        <v>51984</v>
      </c>
      <c r="E612" s="19" t="s">
        <v>16</v>
      </c>
      <c r="F612" s="17"/>
      <c r="G612" s="527" t="s">
        <v>1324</v>
      </c>
      <c r="H612" s="527"/>
      <c r="I612" s="527"/>
      <c r="J612" s="225"/>
      <c r="K612" s="224"/>
    </row>
    <row r="613" spans="1:11" s="239" customFormat="1" ht="13" customHeight="1">
      <c r="A613" s="224"/>
      <c r="B613" s="17"/>
      <c r="C613" s="527" t="s">
        <v>80</v>
      </c>
      <c r="D613" s="20">
        <f>INDEX(Kappe!Q29:S29,1,MATCH(Eingabe!$C$4,Kappe!$Q$12:$S$12))</f>
        <v>69168</v>
      </c>
      <c r="E613" s="19" t="s">
        <v>16</v>
      </c>
      <c r="F613" s="17"/>
      <c r="G613" s="527" t="s">
        <v>1324</v>
      </c>
      <c r="H613" s="527"/>
      <c r="I613" s="527"/>
      <c r="J613" s="225"/>
      <c r="K613" s="224"/>
    </row>
    <row r="614" spans="1:11" s="239" customFormat="1" ht="13" customHeight="1">
      <c r="A614" s="224"/>
      <c r="B614" s="17"/>
      <c r="C614" s="527" t="s">
        <v>10</v>
      </c>
      <c r="D614" s="18">
        <f>Kappe!$Q$26</f>
        <v>8.5</v>
      </c>
      <c r="E614" s="19" t="s">
        <v>7</v>
      </c>
      <c r="F614" s="17"/>
      <c r="G614" s="527" t="s">
        <v>1324</v>
      </c>
      <c r="H614" s="527"/>
      <c r="I614" s="527"/>
      <c r="J614" s="225"/>
      <c r="K614" s="224"/>
    </row>
    <row r="615" spans="1:11" s="239" customFormat="1" ht="13" customHeight="1">
      <c r="A615" s="224"/>
      <c r="B615" s="17"/>
      <c r="C615" s="23" t="s">
        <v>81</v>
      </c>
      <c r="D615" s="21">
        <f>INDEX(Kappe!Q30:S30,1,MATCH(Eingabe!$C$4,Kappe!$Q$12:$S$12))</f>
        <v>1</v>
      </c>
      <c r="E615" s="19" t="s">
        <v>7</v>
      </c>
      <c r="F615" s="17"/>
      <c r="G615" s="527" t="s">
        <v>1324</v>
      </c>
      <c r="H615" s="527"/>
      <c r="I615" s="527"/>
      <c r="J615" s="225"/>
      <c r="K615" s="224"/>
    </row>
    <row r="616" spans="1:11" s="239" customFormat="1" ht="13" customHeight="1">
      <c r="A616" s="224"/>
      <c r="B616" s="17"/>
      <c r="C616" s="23" t="s">
        <v>82</v>
      </c>
      <c r="D616" s="21">
        <f>INDEX(Kappe!Q31:S31,1,MATCH(Eingabe!$C$4,Kappe!$Q$12:$S$12))</f>
        <v>1</v>
      </c>
      <c r="E616" s="19" t="s">
        <v>7</v>
      </c>
      <c r="F616" s="17"/>
      <c r="G616" s="527" t="s">
        <v>1324</v>
      </c>
      <c r="H616" s="527"/>
      <c r="I616" s="527"/>
      <c r="J616" s="225"/>
      <c r="K616" s="224"/>
    </row>
    <row r="617" spans="1:11" s="239" customFormat="1" ht="13" customHeight="1">
      <c r="A617" s="224"/>
      <c r="B617" s="17"/>
      <c r="C617" s="23" t="s">
        <v>83</v>
      </c>
      <c r="D617" s="21">
        <f>INDEX(Kappe!Q32:S32,1,MATCH(Eingabe!$C$4,Kappe!$Q$12:$S$12))</f>
        <v>1</v>
      </c>
      <c r="E617" s="19" t="s">
        <v>7</v>
      </c>
      <c r="F617" s="17"/>
      <c r="G617" s="527" t="s">
        <v>1324</v>
      </c>
      <c r="H617" s="527"/>
      <c r="I617" s="527"/>
      <c r="J617" s="225"/>
      <c r="K617" s="224"/>
    </row>
    <row r="618" spans="1:11" s="239" customFormat="1" ht="13" customHeight="1">
      <c r="A618" s="224"/>
      <c r="B618" s="17"/>
      <c r="C618" s="23" t="s">
        <v>84</v>
      </c>
      <c r="D618" s="21">
        <f>INDEX(Kappe!Q33:S33,1,MATCH(Eingabe!$C$4,Kappe!$Q$12:$S$12))</f>
        <v>1</v>
      </c>
      <c r="E618" s="19" t="s">
        <v>7</v>
      </c>
      <c r="F618" s="17"/>
      <c r="G618" s="527" t="s">
        <v>1324</v>
      </c>
      <c r="H618" s="527"/>
      <c r="I618" s="527"/>
      <c r="J618" s="225"/>
      <c r="K618" s="224"/>
    </row>
    <row r="619" spans="1:11" s="239" customFormat="1" ht="13" customHeight="1">
      <c r="A619" s="224"/>
      <c r="B619" s="17"/>
      <c r="C619" s="666" t="s">
        <v>1152</v>
      </c>
      <c r="D619" s="669">
        <f>Eingabe!N3</f>
        <v>1</v>
      </c>
      <c r="E619" s="19" t="s">
        <v>7</v>
      </c>
      <c r="F619" s="17"/>
      <c r="G619" s="527" t="s">
        <v>1151</v>
      </c>
      <c r="H619" s="527"/>
      <c r="I619" s="527"/>
      <c r="J619" s="225"/>
      <c r="K619" s="224"/>
    </row>
    <row r="620" spans="1:11" s="239" customFormat="1" ht="13" customHeight="1">
      <c r="A620" s="224"/>
      <c r="B620" s="17"/>
      <c r="C620" s="527" t="s">
        <v>77</v>
      </c>
      <c r="D620" s="21">
        <f>INDEX(Kappe!Q34:S34,1,MATCH(Eingabe!$C$4,Kappe!$Q$12:$S$12))</f>
        <v>41.042656765686658</v>
      </c>
      <c r="E620" s="19" t="s">
        <v>2</v>
      </c>
      <c r="F620" s="17"/>
      <c r="G620" s="527" t="s">
        <v>1324</v>
      </c>
      <c r="H620" s="527"/>
      <c r="I620" s="527"/>
      <c r="J620" s="225"/>
      <c r="K620" s="224"/>
    </row>
    <row r="621" spans="1:11" s="239" customFormat="1" ht="13" customHeight="1">
      <c r="A621" s="224"/>
      <c r="B621" s="17"/>
      <c r="C621" s="17" t="s">
        <v>12</v>
      </c>
      <c r="D621" s="21">
        <f>Kappe!$Q$35</f>
        <v>1.2</v>
      </c>
      <c r="E621" s="19" t="s">
        <v>7</v>
      </c>
      <c r="F621" s="17"/>
      <c r="G621" s="527" t="s">
        <v>1324</v>
      </c>
      <c r="H621" s="527"/>
      <c r="I621" s="527"/>
      <c r="J621" s="225"/>
      <c r="K621" s="224"/>
    </row>
    <row r="622" spans="1:11" s="239" customFormat="1" ht="13" customHeight="1">
      <c r="A622" s="224"/>
      <c r="B622" s="17"/>
      <c r="C622" s="527" t="s">
        <v>71</v>
      </c>
      <c r="D622" s="21">
        <f>INDEX(Kappe!Q36:S36,1,MATCH(Eingabe!$C$4,Kappe!$Q$12:$S$12))</f>
        <v>34.202213971405548</v>
      </c>
      <c r="E622" s="19" t="s">
        <v>2</v>
      </c>
      <c r="F622" s="17"/>
      <c r="G622" s="527" t="s">
        <v>73</v>
      </c>
      <c r="H622" s="527"/>
      <c r="I622" s="527"/>
      <c r="J622" s="225"/>
      <c r="K622" s="224"/>
    </row>
    <row r="623" spans="1:11" s="239" customFormat="1" ht="13" customHeight="1">
      <c r="A623" s="224"/>
      <c r="B623" s="17"/>
      <c r="C623" s="527" t="s">
        <v>306</v>
      </c>
      <c r="D623" s="21">
        <f>Kappe!$Q$53</f>
        <v>3.6775975449364311</v>
      </c>
      <c r="E623" s="19" t="s">
        <v>2</v>
      </c>
      <c r="F623" s="17"/>
      <c r="G623" s="527" t="s">
        <v>75</v>
      </c>
      <c r="H623" s="527"/>
      <c r="I623" s="527"/>
      <c r="J623" s="225"/>
      <c r="K623" s="224"/>
    </row>
    <row r="624" spans="1:11" s="239" customFormat="1" ht="13" customHeight="1">
      <c r="A624" s="224"/>
      <c r="B624" s="17"/>
      <c r="C624" s="25" t="s">
        <v>89</v>
      </c>
      <c r="D624" s="26">
        <f>D623/D622</f>
        <v>0.10752513120966535</v>
      </c>
      <c r="E624" s="520" t="s">
        <v>7</v>
      </c>
      <c r="F624" s="27"/>
      <c r="G624" s="24" t="s">
        <v>46</v>
      </c>
      <c r="H624" s="527"/>
      <c r="I624" s="527"/>
      <c r="J624" s="225"/>
      <c r="K624" s="224"/>
    </row>
    <row r="625" spans="1:11" s="239" customFormat="1" ht="5.9" customHeight="1">
      <c r="A625" s="224"/>
      <c r="B625" s="224"/>
      <c r="C625" s="225"/>
      <c r="D625" s="224"/>
      <c r="E625" s="224"/>
      <c r="F625" s="224"/>
      <c r="G625" s="224"/>
      <c r="H625" s="225"/>
      <c r="I625" s="225"/>
      <c r="J625" s="225"/>
      <c r="K625" s="225"/>
    </row>
    <row r="626" spans="1:11" s="239" customFormat="1" ht="13" customHeight="1">
      <c r="A626" s="1032" t="s">
        <v>513</v>
      </c>
      <c r="B626" s="1032"/>
      <c r="C626" s="1032"/>
      <c r="D626" s="1032"/>
      <c r="E626" s="1032"/>
      <c r="F626" s="1032"/>
      <c r="G626" s="1032"/>
      <c r="H626" s="1032"/>
      <c r="I626" s="1032"/>
      <c r="J626" s="1032"/>
      <c r="K626" s="520"/>
    </row>
    <row r="627" spans="1:11" s="239" customFormat="1" ht="13" customHeight="1">
      <c r="A627" s="527"/>
      <c r="B627" s="235" t="s">
        <v>120</v>
      </c>
      <c r="C627" s="236"/>
      <c r="D627" s="527"/>
      <c r="E627" s="527"/>
      <c r="F627" s="527"/>
      <c r="G627" s="527"/>
      <c r="H627" s="527"/>
      <c r="I627" s="527"/>
      <c r="J627" s="527"/>
      <c r="K627" s="527"/>
    </row>
    <row r="628" spans="1:11" s="239" customFormat="1" ht="13" customHeight="1">
      <c r="A628" s="527"/>
      <c r="B628" s="17"/>
      <c r="C628" s="527" t="s">
        <v>118</v>
      </c>
      <c r="D628" s="21">
        <f>INDEX(Kappe!Q58:S58,1,MATCH(Eingabe!$C$4,Kappe!$Q$12:$S$12))</f>
        <v>764.11576346761751</v>
      </c>
      <c r="E628" s="19" t="s">
        <v>119</v>
      </c>
      <c r="F628" s="17"/>
      <c r="G628" s="527" t="s">
        <v>362</v>
      </c>
      <c r="H628" s="527"/>
      <c r="I628" s="527"/>
      <c r="J628" s="527"/>
      <c r="K628" s="527"/>
    </row>
    <row r="629" spans="1:11" s="239" customFormat="1" ht="13" customHeight="1">
      <c r="A629" s="527"/>
      <c r="B629" s="17"/>
      <c r="C629" s="17" t="s">
        <v>3</v>
      </c>
      <c r="D629" s="21">
        <f>Kappe!$Q$59</f>
        <v>1.56</v>
      </c>
      <c r="E629" s="19" t="s">
        <v>7</v>
      </c>
      <c r="F629" s="17"/>
      <c r="G629" s="527" t="s">
        <v>359</v>
      </c>
      <c r="H629" s="527"/>
      <c r="I629" s="527"/>
      <c r="J629" s="527"/>
      <c r="K629" s="527"/>
    </row>
    <row r="630" spans="1:11" s="239" customFormat="1" ht="13" customHeight="1">
      <c r="A630" s="527"/>
      <c r="B630" s="17"/>
      <c r="C630" s="527" t="s">
        <v>65</v>
      </c>
      <c r="D630" s="21">
        <f>INDEX(Kappe!Q60:S60,1,MATCH(Eingabe!$C$4,Kappe!$Q$12:$S$12))</f>
        <v>30.613612318414162</v>
      </c>
      <c r="E630" s="19" t="s">
        <v>2</v>
      </c>
      <c r="F630" s="17"/>
      <c r="G630" s="527" t="s">
        <v>73</v>
      </c>
      <c r="H630" s="14"/>
      <c r="I630" s="14"/>
      <c r="J630" s="14"/>
      <c r="K630" s="17"/>
    </row>
    <row r="631" spans="1:11" s="239" customFormat="1" ht="13" customHeight="1">
      <c r="A631" s="527"/>
      <c r="B631" s="17"/>
      <c r="C631" s="527" t="s">
        <v>307</v>
      </c>
      <c r="D631" s="21">
        <f>Kappe!$Q$61</f>
        <v>29.921271248249965</v>
      </c>
      <c r="E631" s="19" t="s">
        <v>2</v>
      </c>
      <c r="F631" s="17"/>
      <c r="G631" s="527" t="s">
        <v>75</v>
      </c>
      <c r="H631" s="527"/>
      <c r="I631" s="18"/>
      <c r="J631" s="17"/>
      <c r="K631" s="17"/>
    </row>
    <row r="632" spans="1:11" s="239" customFormat="1" ht="13" customHeight="1">
      <c r="A632" s="527"/>
      <c r="B632" s="17"/>
      <c r="C632" s="25" t="s">
        <v>90</v>
      </c>
      <c r="D632" s="26">
        <f>D631/D630</f>
        <v>0.97738453525303992</v>
      </c>
      <c r="E632" s="520" t="s">
        <v>7</v>
      </c>
      <c r="F632" s="27"/>
      <c r="G632" s="24" t="s">
        <v>46</v>
      </c>
      <c r="H632" s="527"/>
      <c r="I632" s="18"/>
      <c r="J632" s="17"/>
      <c r="K632" s="17"/>
    </row>
    <row r="633" spans="1:11" s="239" customFormat="1" ht="5.9" customHeight="1">
      <c r="A633" s="228"/>
      <c r="B633" s="242"/>
      <c r="C633" s="242"/>
      <c r="D633" s="242"/>
      <c r="E633" s="242"/>
      <c r="F633" s="242"/>
      <c r="G633" s="242"/>
      <c r="H633" s="242"/>
      <c r="I633" s="242"/>
      <c r="J633" s="242"/>
      <c r="K633" s="228"/>
    </row>
    <row r="634" spans="1:11" s="239" customFormat="1" ht="13" customHeight="1">
      <c r="A634" s="225"/>
      <c r="B634" s="238" t="s">
        <v>9</v>
      </c>
      <c r="C634" s="17"/>
      <c r="D634" s="17"/>
      <c r="E634" s="17"/>
      <c r="F634" s="527"/>
      <c r="G634" s="527"/>
      <c r="H634" s="527"/>
      <c r="I634" s="18"/>
      <c r="J634" s="224"/>
      <c r="K634" s="224"/>
    </row>
    <row r="635" spans="1:11" s="239" customFormat="1" ht="13" customHeight="1">
      <c r="A635" s="225"/>
      <c r="B635" s="17"/>
      <c r="C635" s="4" t="s">
        <v>10</v>
      </c>
      <c r="D635" s="18">
        <f>Kappe!$Q$64</f>
        <v>2</v>
      </c>
      <c r="E635" s="19" t="s">
        <v>7</v>
      </c>
      <c r="F635" s="17"/>
      <c r="G635" s="527" t="s">
        <v>1324</v>
      </c>
      <c r="H635" s="527"/>
      <c r="I635" s="18"/>
      <c r="J635" s="224"/>
      <c r="K635" s="224"/>
    </row>
    <row r="636" spans="1:11" s="239" customFormat="1" ht="13" customHeight="1">
      <c r="A636" s="224"/>
      <c r="B636" s="17"/>
      <c r="C636" s="527" t="s">
        <v>18</v>
      </c>
      <c r="D636" s="21">
        <f>INDEX(Kappe!Q65:S65,1,MATCH(Eingabe!$C$4,Kappe!$Q$12:$S$12))</f>
        <v>82.085313531373316</v>
      </c>
      <c r="E636" s="237" t="s">
        <v>2</v>
      </c>
      <c r="F636" s="17"/>
      <c r="G636" s="527" t="s">
        <v>1324</v>
      </c>
      <c r="H636" s="17"/>
      <c r="I636" s="17"/>
      <c r="J636" s="224"/>
      <c r="K636" s="224"/>
    </row>
    <row r="637" spans="1:11" s="239" customFormat="1" ht="13" customHeight="1">
      <c r="A637" s="224"/>
      <c r="B637" s="17"/>
      <c r="C637" s="17" t="s">
        <v>12</v>
      </c>
      <c r="D637" s="21">
        <f>Kappe!$Q$66</f>
        <v>1.2</v>
      </c>
      <c r="E637" s="19" t="s">
        <v>7</v>
      </c>
      <c r="F637" s="17"/>
      <c r="G637" s="527" t="s">
        <v>1324</v>
      </c>
      <c r="H637" s="17"/>
      <c r="I637" s="17"/>
      <c r="J637" s="224"/>
      <c r="K637" s="224"/>
    </row>
    <row r="638" spans="1:11" s="239" customFormat="1" ht="13" customHeight="1">
      <c r="A638" s="224"/>
      <c r="B638" s="17"/>
      <c r="C638" s="17" t="s">
        <v>72</v>
      </c>
      <c r="D638" s="21">
        <f>INDEX(Kappe!Q67:S67,1,MATCH(Eingabe!$C$4,Kappe!$Q$12:$S$12))</f>
        <v>68.404427942811097</v>
      </c>
      <c r="E638" s="19" t="s">
        <v>2</v>
      </c>
      <c r="F638" s="17"/>
      <c r="G638" s="527" t="s">
        <v>73</v>
      </c>
      <c r="H638" s="17"/>
      <c r="I638" s="17"/>
      <c r="J638" s="224"/>
      <c r="K638" s="224"/>
    </row>
    <row r="639" spans="1:11" s="239" customFormat="1" ht="13" customHeight="1">
      <c r="A639" s="224"/>
      <c r="B639" s="17"/>
      <c r="C639" s="527" t="s">
        <v>307</v>
      </c>
      <c r="D639" s="21">
        <f>Kappe!$Q$61</f>
        <v>29.921271248249965</v>
      </c>
      <c r="E639" s="19" t="s">
        <v>2</v>
      </c>
      <c r="F639" s="17"/>
      <c r="G639" s="527" t="s">
        <v>75</v>
      </c>
      <c r="H639" s="17"/>
      <c r="I639" s="17"/>
      <c r="J639" s="224"/>
      <c r="K639" s="224"/>
    </row>
    <row r="640" spans="1:11" s="239" customFormat="1" ht="13" customHeight="1">
      <c r="A640" s="224"/>
      <c r="B640" s="17"/>
      <c r="C640" s="25" t="s">
        <v>91</v>
      </c>
      <c r="D640" s="26">
        <f>D639/D638</f>
        <v>0.43741716944501569</v>
      </c>
      <c r="E640" s="520" t="s">
        <v>7</v>
      </c>
      <c r="F640" s="27"/>
      <c r="G640" s="24" t="s">
        <v>46</v>
      </c>
      <c r="H640" s="17"/>
      <c r="I640" s="17"/>
      <c r="J640" s="224"/>
      <c r="K640" s="224"/>
    </row>
    <row r="641" spans="1:26" s="239" customFormat="1" ht="5.9" customHeight="1">
      <c r="A641" s="224"/>
      <c r="B641" s="224"/>
      <c r="C641" s="231"/>
      <c r="D641" s="229"/>
      <c r="E641" s="227"/>
      <c r="F641" s="224"/>
      <c r="G641" s="225"/>
      <c r="H641" s="230"/>
      <c r="I641" s="224"/>
      <c r="J641" s="224"/>
      <c r="K641" s="224"/>
    </row>
    <row r="642" spans="1:26" s="239" customFormat="1" ht="13" customHeight="1">
      <c r="A642" s="1034" t="s">
        <v>518</v>
      </c>
      <c r="B642" s="1034"/>
      <c r="C642" s="1034"/>
      <c r="D642" s="1034"/>
      <c r="E642" s="1034"/>
      <c r="F642" s="1034"/>
      <c r="G642" s="1034"/>
      <c r="H642" s="1034"/>
      <c r="I642" s="1034"/>
      <c r="J642" s="1034"/>
      <c r="K642" s="224"/>
    </row>
    <row r="643" spans="1:26" s="239" customFormat="1" ht="5.9" customHeight="1">
      <c r="A643" s="224"/>
      <c r="B643" s="17"/>
      <c r="C643" s="23"/>
      <c r="D643" s="18"/>
      <c r="E643" s="19"/>
      <c r="F643" s="17"/>
      <c r="G643" s="527"/>
      <c r="H643" s="20"/>
      <c r="I643" s="17"/>
      <c r="J643" s="224"/>
      <c r="K643" s="224"/>
    </row>
    <row r="644" spans="1:26" s="239" customFormat="1" ht="13" customHeight="1">
      <c r="A644" s="224"/>
      <c r="B644" s="17"/>
      <c r="C644" s="23" t="s">
        <v>85</v>
      </c>
      <c r="D644" s="21">
        <f>INDEX(Kappe!Q89:S89,1,MATCH(Eingabe!$C$4,Kappe!$Q$12:$S$12))</f>
        <v>0.10752513120966535</v>
      </c>
      <c r="E644" s="19" t="s">
        <v>7</v>
      </c>
      <c r="F644" s="17"/>
      <c r="G644" s="527" t="s">
        <v>515</v>
      </c>
      <c r="H644" s="20"/>
      <c r="I644" s="17"/>
      <c r="J644" s="224"/>
      <c r="K644" s="224"/>
    </row>
    <row r="645" spans="1:26" s="239" customFormat="1" ht="13" customHeight="1">
      <c r="A645" s="224"/>
      <c r="B645" s="17"/>
      <c r="C645" s="23" t="s">
        <v>87</v>
      </c>
      <c r="D645" s="21">
        <f>INDEX(Kappe!Q90:S90,1,MATCH(Eingabe!$C$4,Kappe!$Q$12:$S$12))</f>
        <v>0.97738453525303992</v>
      </c>
      <c r="E645" s="19" t="s">
        <v>7</v>
      </c>
      <c r="F645" s="17"/>
      <c r="G645" s="527" t="s">
        <v>519</v>
      </c>
      <c r="H645" s="20"/>
      <c r="I645" s="17"/>
      <c r="J645" s="224"/>
      <c r="K645" s="224"/>
    </row>
    <row r="646" spans="1:26" s="239" customFormat="1" ht="13" hidden="1" customHeight="1">
      <c r="A646" s="224"/>
      <c r="B646" s="17"/>
      <c r="C646" s="23"/>
      <c r="D646" s="21"/>
      <c r="E646" s="19"/>
      <c r="F646" s="17"/>
      <c r="G646" s="527"/>
      <c r="H646" s="20"/>
      <c r="I646" s="17"/>
      <c r="J646" s="224"/>
      <c r="K646" s="224"/>
    </row>
    <row r="647" spans="1:26" s="239" customFormat="1" ht="13" customHeight="1">
      <c r="A647" s="224"/>
      <c r="B647" s="17"/>
      <c r="C647" s="25" t="s">
        <v>548</v>
      </c>
      <c r="D647" s="26">
        <f>INDEX(Kappe!Q92:S92,1,MATCH(Eingabe!$C$4,Kappe!$Q$12:$S$12))</f>
        <v>0.90409138871892114</v>
      </c>
      <c r="E647" s="520" t="s">
        <v>7</v>
      </c>
      <c r="F647" s="27"/>
      <c r="G647" s="24" t="s">
        <v>1324</v>
      </c>
      <c r="H647" s="20"/>
      <c r="I647" s="17"/>
      <c r="J647" s="224"/>
      <c r="K647" s="224"/>
    </row>
    <row r="648" spans="1:26" s="1" customFormat="1">
      <c r="A648" s="275"/>
      <c r="B648" s="275"/>
      <c r="C648" s="275"/>
      <c r="D648" s="275"/>
      <c r="E648" s="275"/>
      <c r="F648" s="275"/>
      <c r="G648" s="275"/>
      <c r="H648" s="275"/>
      <c r="I648" s="275"/>
      <c r="J648" s="275"/>
      <c r="K648" s="275"/>
      <c r="L648" s="531"/>
      <c r="M648" s="531"/>
      <c r="N648" s="531"/>
      <c r="O648" s="531"/>
      <c r="P648" s="531"/>
      <c r="Q648" s="531"/>
      <c r="R648" s="531"/>
      <c r="S648" s="531"/>
      <c r="T648" s="531"/>
      <c r="U648" s="531"/>
      <c r="V648" s="531"/>
      <c r="W648" s="531"/>
      <c r="X648" s="531"/>
      <c r="Y648" s="531"/>
      <c r="Z648" s="531"/>
    </row>
    <row r="649" spans="1:26" s="1" customFormat="1">
      <c r="A649" s="531"/>
      <c r="B649" s="531"/>
      <c r="C649" s="531"/>
      <c r="D649" s="531"/>
      <c r="E649" s="531"/>
      <c r="F649" s="531"/>
      <c r="G649" s="531"/>
      <c r="H649" s="531"/>
      <c r="I649" s="531"/>
      <c r="J649" s="531"/>
      <c r="K649" s="531"/>
      <c r="L649" s="531"/>
      <c r="M649" s="531"/>
      <c r="N649" s="531"/>
      <c r="O649" s="531"/>
      <c r="P649" s="531"/>
      <c r="Q649" s="531"/>
      <c r="R649" s="531"/>
      <c r="S649" s="531"/>
      <c r="T649" s="531"/>
      <c r="U649" s="531"/>
      <c r="V649" s="531"/>
      <c r="W649" s="531"/>
      <c r="X649" s="531"/>
      <c r="Y649" s="531"/>
      <c r="Z649" s="531"/>
    </row>
    <row r="650" spans="1:26" s="1" customFormat="1">
      <c r="A650" s="531"/>
      <c r="B650" s="531"/>
      <c r="C650" s="531"/>
      <c r="D650" s="531"/>
      <c r="E650" s="531"/>
      <c r="F650" s="531"/>
      <c r="G650" s="531"/>
      <c r="H650" s="531"/>
      <c r="I650" s="531"/>
      <c r="J650" s="531"/>
      <c r="K650" s="531"/>
      <c r="L650" s="531"/>
      <c r="M650" s="531"/>
      <c r="N650" s="531"/>
      <c r="O650" s="531"/>
      <c r="P650" s="531"/>
      <c r="Q650" s="531"/>
      <c r="R650" s="531"/>
      <c r="S650" s="531"/>
      <c r="T650" s="531"/>
      <c r="U650" s="531"/>
      <c r="V650" s="531"/>
      <c r="W650" s="531"/>
      <c r="X650" s="531"/>
      <c r="Y650" s="531"/>
      <c r="Z650" s="531"/>
    </row>
    <row r="651" spans="1:26" s="1" customFormat="1">
      <c r="A651" s="531"/>
      <c r="B651" s="531"/>
      <c r="C651" s="531"/>
      <c r="D651" s="531"/>
      <c r="E651" s="531"/>
      <c r="F651" s="531"/>
      <c r="G651" s="531"/>
      <c r="H651" s="531"/>
      <c r="I651" s="531"/>
      <c r="J651" s="531"/>
      <c r="K651" s="531"/>
      <c r="L651" s="531"/>
      <c r="M651" s="531"/>
      <c r="N651" s="531"/>
      <c r="O651" s="531"/>
      <c r="P651" s="531"/>
      <c r="Q651" s="531"/>
      <c r="R651" s="531"/>
      <c r="S651" s="531"/>
      <c r="T651" s="531"/>
      <c r="U651" s="531"/>
      <c r="V651" s="531"/>
      <c r="W651" s="531"/>
      <c r="X651" s="531"/>
      <c r="Y651" s="531"/>
      <c r="Z651" s="531"/>
    </row>
    <row r="652" spans="1:26" s="1" customFormat="1">
      <c r="A652" s="531"/>
      <c r="B652" s="531"/>
      <c r="C652" s="531"/>
      <c r="D652" s="531"/>
      <c r="E652" s="531"/>
      <c r="F652" s="531"/>
      <c r="G652" s="531"/>
      <c r="H652" s="531"/>
      <c r="I652" s="531"/>
      <c r="J652" s="531"/>
      <c r="K652" s="531"/>
      <c r="L652" s="531"/>
      <c r="M652" s="531"/>
      <c r="N652" s="531"/>
      <c r="O652" s="531"/>
      <c r="P652" s="531"/>
      <c r="Q652" s="531"/>
      <c r="R652" s="531"/>
      <c r="S652" s="531"/>
      <c r="T652" s="531"/>
      <c r="U652" s="531"/>
      <c r="V652" s="531"/>
      <c r="W652" s="531"/>
      <c r="X652" s="531"/>
      <c r="Y652" s="531"/>
      <c r="Z652" s="531"/>
    </row>
    <row r="653" spans="1:26" s="1" customFormat="1">
      <c r="A653" s="531"/>
      <c r="B653" s="531"/>
      <c r="C653" s="531"/>
      <c r="D653" s="531"/>
      <c r="E653" s="531"/>
      <c r="F653" s="531"/>
      <c r="G653" s="531"/>
      <c r="H653" s="531"/>
      <c r="I653" s="531"/>
      <c r="J653" s="531"/>
      <c r="K653" s="531"/>
      <c r="L653" s="531"/>
      <c r="M653" s="531"/>
      <c r="N653" s="531"/>
      <c r="O653" s="531"/>
      <c r="P653" s="531"/>
      <c r="Q653" s="531"/>
      <c r="R653" s="531"/>
      <c r="S653" s="531"/>
      <c r="T653" s="531"/>
      <c r="U653" s="531"/>
      <c r="V653" s="531"/>
      <c r="W653" s="531"/>
      <c r="X653" s="531"/>
      <c r="Y653" s="531"/>
      <c r="Z653" s="531"/>
    </row>
    <row r="654" spans="1:26" s="1" customFormat="1">
      <c r="A654" s="531"/>
      <c r="B654" s="531"/>
      <c r="C654" s="531"/>
      <c r="D654" s="531"/>
      <c r="E654" s="531"/>
      <c r="F654" s="531"/>
      <c r="G654" s="531"/>
      <c r="H654" s="531"/>
      <c r="I654" s="531"/>
      <c r="J654" s="531"/>
      <c r="K654" s="531"/>
      <c r="L654" s="531"/>
      <c r="M654" s="531"/>
      <c r="N654" s="531"/>
      <c r="O654" s="531"/>
      <c r="P654" s="531"/>
      <c r="Q654" s="531"/>
      <c r="R654" s="531"/>
      <c r="S654" s="531"/>
      <c r="T654" s="531"/>
      <c r="U654" s="531"/>
      <c r="V654" s="531"/>
      <c r="W654" s="531"/>
      <c r="X654" s="531"/>
      <c r="Y654" s="531"/>
      <c r="Z654" s="531"/>
    </row>
    <row r="655" spans="1:26" s="1" customFormat="1">
      <c r="A655" s="531"/>
      <c r="B655" s="531"/>
      <c r="C655" s="531"/>
      <c r="D655" s="531"/>
      <c r="E655" s="531"/>
      <c r="F655" s="531"/>
      <c r="G655" s="531"/>
      <c r="H655" s="531"/>
      <c r="I655" s="531"/>
      <c r="J655" s="531"/>
      <c r="K655" s="531"/>
      <c r="L655" s="531"/>
      <c r="M655" s="531"/>
      <c r="N655" s="531"/>
      <c r="O655" s="531"/>
      <c r="P655" s="531"/>
      <c r="Q655" s="531"/>
      <c r="R655" s="531"/>
      <c r="S655" s="531"/>
      <c r="T655" s="531"/>
      <c r="U655" s="531"/>
      <c r="V655" s="531"/>
      <c r="W655" s="531"/>
      <c r="X655" s="531"/>
      <c r="Y655" s="531"/>
      <c r="Z655" s="531"/>
    </row>
    <row r="656" spans="1:26" s="1" customFormat="1">
      <c r="A656" s="531"/>
      <c r="B656" s="531"/>
      <c r="C656" s="531"/>
      <c r="D656" s="531"/>
      <c r="E656" s="531"/>
      <c r="F656" s="531"/>
      <c r="G656" s="531"/>
      <c r="H656" s="531"/>
      <c r="I656" s="531"/>
      <c r="J656" s="531"/>
      <c r="K656" s="531"/>
      <c r="L656" s="531"/>
      <c r="M656" s="531"/>
      <c r="N656" s="531"/>
      <c r="O656" s="531"/>
      <c r="P656" s="531"/>
      <c r="Q656" s="531"/>
      <c r="R656" s="531"/>
      <c r="S656" s="531"/>
      <c r="T656" s="531"/>
      <c r="U656" s="531"/>
      <c r="V656" s="531"/>
      <c r="W656" s="531"/>
      <c r="X656" s="531"/>
      <c r="Y656" s="531"/>
      <c r="Z656" s="531"/>
    </row>
    <row r="657" spans="1:26" s="1" customFormat="1">
      <c r="A657" s="531"/>
      <c r="B657" s="531"/>
      <c r="C657" s="531"/>
      <c r="D657" s="531"/>
      <c r="E657" s="531"/>
      <c r="F657" s="531"/>
      <c r="G657" s="531"/>
      <c r="H657" s="531"/>
      <c r="I657" s="531"/>
      <c r="J657" s="531"/>
      <c r="K657" s="531"/>
      <c r="L657" s="531"/>
      <c r="M657" s="531"/>
      <c r="N657" s="531"/>
      <c r="O657" s="531"/>
      <c r="P657" s="531"/>
      <c r="Q657" s="531"/>
      <c r="R657" s="531"/>
      <c r="S657" s="531"/>
      <c r="T657" s="531"/>
      <c r="U657" s="531"/>
      <c r="V657" s="531"/>
      <c r="W657" s="531"/>
      <c r="X657" s="531"/>
      <c r="Y657" s="531"/>
      <c r="Z657" s="531"/>
    </row>
    <row r="658" spans="1:26" s="1" customFormat="1">
      <c r="A658" s="531"/>
      <c r="B658" s="531"/>
      <c r="C658" s="531"/>
      <c r="D658" s="531"/>
      <c r="E658" s="531"/>
      <c r="F658" s="531"/>
      <c r="G658" s="531"/>
      <c r="H658" s="531"/>
      <c r="I658" s="531"/>
      <c r="J658" s="531"/>
      <c r="K658" s="531"/>
      <c r="L658" s="531"/>
      <c r="M658" s="531"/>
      <c r="N658" s="531"/>
      <c r="O658" s="531"/>
      <c r="P658" s="531"/>
      <c r="Q658" s="531"/>
      <c r="R658" s="531"/>
      <c r="S658" s="531"/>
      <c r="T658" s="531"/>
      <c r="U658" s="531"/>
      <c r="V658" s="531"/>
      <c r="W658" s="531"/>
      <c r="X658" s="531"/>
      <c r="Y658" s="531"/>
      <c r="Z658" s="531"/>
    </row>
    <row r="659" spans="1:26" s="1" customFormat="1">
      <c r="A659" s="531"/>
      <c r="B659" s="531"/>
      <c r="C659" s="531"/>
      <c r="D659" s="531"/>
      <c r="E659" s="531"/>
      <c r="F659" s="531"/>
      <c r="G659" s="531"/>
      <c r="H659" s="531"/>
      <c r="I659" s="531"/>
      <c r="J659" s="531"/>
      <c r="K659" s="531"/>
      <c r="L659" s="531"/>
      <c r="M659" s="531"/>
      <c r="N659" s="531"/>
      <c r="O659" s="531"/>
      <c r="P659" s="531"/>
      <c r="Q659" s="531"/>
      <c r="R659" s="531"/>
      <c r="S659" s="531"/>
      <c r="T659" s="531"/>
      <c r="U659" s="531"/>
      <c r="V659" s="531"/>
      <c r="W659" s="531"/>
      <c r="X659" s="531"/>
      <c r="Y659" s="531"/>
      <c r="Z659" s="531"/>
    </row>
    <row r="660" spans="1:26" s="1" customFormat="1">
      <c r="A660" s="531"/>
      <c r="B660" s="531"/>
      <c r="C660" s="531"/>
      <c r="D660" s="531"/>
      <c r="E660" s="531"/>
      <c r="F660" s="531"/>
      <c r="G660" s="531"/>
      <c r="H660" s="531"/>
      <c r="I660" s="531"/>
      <c r="J660" s="531"/>
      <c r="K660" s="531"/>
      <c r="L660" s="531"/>
      <c r="M660" s="531"/>
      <c r="N660" s="531"/>
      <c r="O660" s="531"/>
      <c r="P660" s="531"/>
      <c r="Q660" s="531"/>
      <c r="R660" s="531"/>
      <c r="S660" s="531"/>
      <c r="T660" s="531"/>
      <c r="U660" s="531"/>
      <c r="V660" s="531"/>
      <c r="W660" s="531"/>
      <c r="X660" s="531"/>
      <c r="Y660" s="531"/>
      <c r="Z660" s="531"/>
    </row>
    <row r="661" spans="1:26" s="1" customFormat="1">
      <c r="A661" s="531"/>
      <c r="B661" s="531"/>
      <c r="C661" s="531"/>
      <c r="D661" s="531"/>
      <c r="E661" s="531"/>
      <c r="F661" s="531"/>
      <c r="G661" s="531"/>
      <c r="H661" s="531"/>
      <c r="I661" s="531"/>
      <c r="J661" s="531"/>
      <c r="K661" s="531"/>
      <c r="L661" s="531"/>
      <c r="M661" s="531"/>
      <c r="N661" s="531"/>
      <c r="O661" s="531"/>
      <c r="P661" s="531"/>
      <c r="Q661" s="531"/>
      <c r="R661" s="531"/>
      <c r="S661" s="531"/>
      <c r="T661" s="531"/>
      <c r="U661" s="531"/>
      <c r="V661" s="531"/>
      <c r="W661" s="531"/>
      <c r="X661" s="531"/>
      <c r="Y661" s="531"/>
      <c r="Z661" s="531"/>
    </row>
    <row r="662" spans="1:26" s="1" customFormat="1">
      <c r="A662" s="531"/>
      <c r="B662" s="531"/>
      <c r="C662" s="531"/>
      <c r="D662" s="531"/>
      <c r="E662" s="531"/>
      <c r="F662" s="531"/>
      <c r="G662" s="531"/>
      <c r="H662" s="531"/>
      <c r="I662" s="531"/>
      <c r="J662" s="531"/>
      <c r="K662" s="531"/>
      <c r="L662" s="531"/>
      <c r="M662" s="531"/>
      <c r="N662" s="531"/>
      <c r="O662" s="531"/>
      <c r="P662" s="531"/>
      <c r="Q662" s="531"/>
      <c r="R662" s="531"/>
      <c r="S662" s="531"/>
      <c r="T662" s="531"/>
      <c r="U662" s="531"/>
      <c r="V662" s="531"/>
      <c r="W662" s="531"/>
      <c r="X662" s="531"/>
      <c r="Y662" s="531"/>
      <c r="Z662" s="531"/>
    </row>
    <row r="663" spans="1:26" s="1" customFormat="1">
      <c r="A663" s="531"/>
      <c r="B663" s="531"/>
      <c r="C663" s="531"/>
      <c r="D663" s="531"/>
      <c r="E663" s="531"/>
      <c r="F663" s="531"/>
      <c r="G663" s="531"/>
      <c r="H663" s="531"/>
      <c r="I663" s="531"/>
      <c r="J663" s="531"/>
      <c r="K663" s="531"/>
      <c r="L663" s="531"/>
      <c r="M663" s="531"/>
      <c r="N663" s="531"/>
      <c r="O663" s="531"/>
      <c r="P663" s="531"/>
      <c r="Q663" s="531"/>
      <c r="R663" s="531"/>
      <c r="S663" s="531"/>
      <c r="T663" s="531"/>
      <c r="U663" s="531"/>
      <c r="V663" s="531"/>
      <c r="W663" s="531"/>
      <c r="X663" s="531"/>
      <c r="Y663" s="531"/>
      <c r="Z663" s="531"/>
    </row>
    <row r="664" spans="1:26" s="1" customFormat="1">
      <c r="A664" s="531"/>
      <c r="B664" s="531"/>
      <c r="C664" s="531"/>
      <c r="D664" s="531"/>
      <c r="E664" s="531"/>
      <c r="F664" s="531"/>
      <c r="G664" s="531"/>
      <c r="H664" s="531"/>
      <c r="I664" s="531"/>
      <c r="J664" s="531"/>
      <c r="K664" s="531"/>
      <c r="L664" s="531"/>
      <c r="M664" s="531"/>
      <c r="N664" s="531"/>
      <c r="O664" s="531"/>
      <c r="P664" s="531"/>
      <c r="Q664" s="531"/>
      <c r="R664" s="531"/>
      <c r="S664" s="531"/>
      <c r="T664" s="531"/>
      <c r="U664" s="531"/>
      <c r="V664" s="531"/>
      <c r="W664" s="531"/>
      <c r="X664" s="531"/>
      <c r="Y664" s="531"/>
      <c r="Z664" s="531"/>
    </row>
    <row r="665" spans="1:26" s="1" customFormat="1">
      <c r="A665" s="531"/>
      <c r="B665" s="531"/>
      <c r="C665" s="531"/>
      <c r="D665" s="531"/>
      <c r="E665" s="531"/>
      <c r="F665" s="531"/>
      <c r="G665" s="531"/>
      <c r="H665" s="531"/>
      <c r="I665" s="531"/>
      <c r="J665" s="531"/>
      <c r="K665" s="531"/>
      <c r="L665" s="531"/>
      <c r="M665" s="531"/>
      <c r="N665" s="531"/>
      <c r="O665" s="531"/>
      <c r="P665" s="531"/>
      <c r="Q665" s="531"/>
      <c r="R665" s="531"/>
      <c r="S665" s="531"/>
      <c r="T665" s="531"/>
      <c r="U665" s="531"/>
      <c r="V665" s="531"/>
      <c r="W665" s="531"/>
      <c r="X665" s="531"/>
      <c r="Y665" s="531"/>
      <c r="Z665" s="531"/>
    </row>
    <row r="666" spans="1:26" s="1" customFormat="1">
      <c r="A666" s="531"/>
      <c r="B666" s="531"/>
      <c r="C666" s="531"/>
      <c r="D666" s="531"/>
      <c r="E666" s="531"/>
      <c r="F666" s="531"/>
      <c r="G666" s="531"/>
      <c r="H666" s="531"/>
      <c r="I666" s="531"/>
      <c r="J666" s="531"/>
      <c r="K666" s="531"/>
      <c r="L666" s="531"/>
      <c r="M666" s="531"/>
      <c r="N666" s="531"/>
      <c r="O666" s="531"/>
      <c r="P666" s="531"/>
      <c r="Q666" s="531"/>
      <c r="R666" s="531"/>
      <c r="S666" s="531"/>
      <c r="T666" s="531"/>
      <c r="U666" s="531"/>
      <c r="V666" s="531"/>
      <c r="W666" s="531"/>
      <c r="X666" s="531"/>
      <c r="Y666" s="531"/>
      <c r="Z666" s="531"/>
    </row>
    <row r="667" spans="1:26" s="1" customFormat="1">
      <c r="A667" s="531"/>
      <c r="B667" s="531"/>
      <c r="C667" s="531"/>
      <c r="D667" s="531"/>
      <c r="E667" s="531"/>
      <c r="F667" s="531"/>
      <c r="G667" s="531"/>
      <c r="H667" s="531"/>
      <c r="I667" s="531"/>
      <c r="J667" s="531"/>
      <c r="K667" s="531"/>
      <c r="L667" s="531"/>
      <c r="M667" s="531"/>
      <c r="N667" s="531"/>
      <c r="O667" s="531"/>
      <c r="P667" s="531"/>
      <c r="Q667" s="531"/>
      <c r="R667" s="531"/>
      <c r="S667" s="531"/>
      <c r="T667" s="531"/>
      <c r="U667" s="531"/>
      <c r="V667" s="531"/>
      <c r="W667" s="531"/>
      <c r="X667" s="531"/>
      <c r="Y667" s="531"/>
      <c r="Z667" s="531"/>
    </row>
    <row r="668" spans="1:26" s="1" customFormat="1">
      <c r="A668" s="531"/>
      <c r="B668" s="531"/>
      <c r="C668" s="531"/>
      <c r="D668" s="531"/>
      <c r="E668" s="531"/>
      <c r="F668" s="531"/>
      <c r="G668" s="531"/>
      <c r="H668" s="531"/>
      <c r="I668" s="531"/>
      <c r="J668" s="531"/>
      <c r="K668" s="531"/>
      <c r="L668" s="531"/>
      <c r="M668" s="531"/>
      <c r="N668" s="531"/>
      <c r="O668" s="531"/>
      <c r="P668" s="531"/>
      <c r="Q668" s="531"/>
      <c r="R668" s="531"/>
      <c r="S668" s="531"/>
      <c r="T668" s="531"/>
      <c r="U668" s="531"/>
      <c r="V668" s="531"/>
      <c r="W668" s="531"/>
      <c r="X668" s="531"/>
      <c r="Y668" s="531"/>
      <c r="Z668" s="531"/>
    </row>
    <row r="669" spans="1:26" s="1" customFormat="1">
      <c r="A669" s="531"/>
      <c r="B669" s="531"/>
      <c r="C669" s="531"/>
      <c r="D669" s="531"/>
      <c r="E669" s="531"/>
      <c r="F669" s="531"/>
      <c r="G669" s="531"/>
      <c r="H669" s="531"/>
      <c r="I669" s="531"/>
      <c r="J669" s="531"/>
      <c r="K669" s="531"/>
      <c r="L669" s="531"/>
      <c r="M669" s="531"/>
      <c r="N669" s="531"/>
      <c r="O669" s="531"/>
      <c r="P669" s="531"/>
      <c r="Q669" s="531"/>
      <c r="R669" s="531"/>
      <c r="S669" s="531"/>
      <c r="T669" s="531"/>
      <c r="U669" s="531"/>
      <c r="V669" s="531"/>
      <c r="W669" s="531"/>
      <c r="X669" s="531"/>
      <c r="Y669" s="531"/>
      <c r="Z669" s="531"/>
    </row>
    <row r="670" spans="1:26" s="1" customFormat="1">
      <c r="A670" s="531"/>
      <c r="B670" s="531"/>
      <c r="C670" s="531"/>
      <c r="D670" s="531"/>
      <c r="E670" s="531"/>
      <c r="F670" s="531"/>
      <c r="G670" s="531"/>
      <c r="H670" s="531"/>
      <c r="I670" s="531"/>
      <c r="J670" s="531"/>
      <c r="K670" s="531"/>
      <c r="L670" s="531"/>
      <c r="M670" s="531"/>
      <c r="N670" s="531"/>
      <c r="O670" s="531"/>
      <c r="P670" s="531"/>
      <c r="Q670" s="531"/>
      <c r="R670" s="531"/>
      <c r="S670" s="531"/>
      <c r="T670" s="531"/>
      <c r="U670" s="531"/>
      <c r="V670" s="531"/>
      <c r="W670" s="531"/>
      <c r="X670" s="531"/>
      <c r="Y670" s="531"/>
      <c r="Z670" s="531"/>
    </row>
    <row r="671" spans="1:26" s="1" customFormat="1">
      <c r="A671" s="531"/>
      <c r="B671" s="531"/>
      <c r="C671" s="531"/>
      <c r="D671" s="531"/>
      <c r="E671" s="531"/>
      <c r="F671" s="531"/>
      <c r="G671" s="531"/>
      <c r="H671" s="531"/>
      <c r="I671" s="531"/>
      <c r="J671" s="531"/>
      <c r="K671" s="531"/>
      <c r="L671" s="531"/>
      <c r="M671" s="531"/>
      <c r="N671" s="531"/>
      <c r="O671" s="531"/>
      <c r="P671" s="531"/>
      <c r="Q671" s="531"/>
      <c r="R671" s="531"/>
      <c r="S671" s="531"/>
      <c r="T671" s="531"/>
      <c r="U671" s="531"/>
      <c r="V671" s="531"/>
      <c r="W671" s="531"/>
      <c r="X671" s="531"/>
      <c r="Y671" s="531"/>
      <c r="Z671" s="531"/>
    </row>
    <row r="672" spans="1:26" s="1" customFormat="1">
      <c r="A672" s="531"/>
      <c r="B672" s="531"/>
      <c r="C672" s="531"/>
      <c r="D672" s="531"/>
      <c r="E672" s="531"/>
      <c r="F672" s="531"/>
      <c r="G672" s="531"/>
      <c r="H672" s="531"/>
      <c r="I672" s="531"/>
      <c r="J672" s="531"/>
      <c r="K672" s="531"/>
      <c r="L672" s="531"/>
      <c r="M672" s="531"/>
      <c r="N672" s="531"/>
      <c r="O672" s="531"/>
      <c r="P672" s="531"/>
      <c r="Q672" s="531"/>
      <c r="R672" s="531"/>
      <c r="S672" s="531"/>
      <c r="T672" s="531"/>
      <c r="U672" s="531"/>
      <c r="V672" s="531"/>
      <c r="W672" s="531"/>
      <c r="X672" s="531"/>
      <c r="Y672" s="531"/>
      <c r="Z672" s="531"/>
    </row>
    <row r="673" spans="1:26" s="1" customFormat="1">
      <c r="A673" s="531"/>
      <c r="B673" s="531"/>
      <c r="C673" s="531"/>
      <c r="D673" s="531"/>
      <c r="E673" s="531"/>
      <c r="F673" s="531"/>
      <c r="G673" s="531"/>
      <c r="H673" s="531"/>
      <c r="I673" s="531"/>
      <c r="J673" s="531"/>
      <c r="K673" s="531"/>
      <c r="L673" s="531"/>
      <c r="M673" s="531"/>
      <c r="N673" s="531"/>
      <c r="O673" s="531"/>
      <c r="P673" s="531"/>
      <c r="Q673" s="531"/>
      <c r="R673" s="531"/>
      <c r="S673" s="531"/>
      <c r="T673" s="531"/>
      <c r="U673" s="531"/>
      <c r="V673" s="531"/>
      <c r="W673" s="531"/>
      <c r="X673" s="531"/>
      <c r="Y673" s="531"/>
      <c r="Z673" s="531"/>
    </row>
    <row r="674" spans="1:26" s="1" customFormat="1">
      <c r="A674" s="531"/>
      <c r="B674" s="531"/>
      <c r="C674" s="531"/>
      <c r="D674" s="531"/>
      <c r="E674" s="531"/>
      <c r="F674" s="531"/>
      <c r="G674" s="531"/>
      <c r="H674" s="531"/>
      <c r="I674" s="531"/>
      <c r="J674" s="531"/>
      <c r="K674" s="531"/>
      <c r="L674" s="531"/>
      <c r="M674" s="531"/>
      <c r="N674" s="531"/>
      <c r="O674" s="531"/>
      <c r="P674" s="531"/>
      <c r="Q674" s="531"/>
      <c r="R674" s="531"/>
      <c r="S674" s="531"/>
      <c r="T674" s="531"/>
      <c r="U674" s="531"/>
      <c r="V674" s="531"/>
      <c r="W674" s="531"/>
      <c r="X674" s="531"/>
      <c r="Y674" s="531"/>
      <c r="Z674" s="531"/>
    </row>
    <row r="675" spans="1:26" s="1" customFormat="1">
      <c r="A675" s="531"/>
      <c r="B675" s="531"/>
      <c r="C675" s="531"/>
      <c r="D675" s="531"/>
      <c r="E675" s="531"/>
      <c r="F675" s="531"/>
      <c r="G675" s="531"/>
      <c r="H675" s="531"/>
      <c r="I675" s="531"/>
      <c r="J675" s="531"/>
      <c r="K675" s="531"/>
      <c r="L675" s="531"/>
      <c r="M675" s="531"/>
      <c r="N675" s="531"/>
      <c r="O675" s="531"/>
      <c r="P675" s="531"/>
      <c r="Q675" s="531"/>
      <c r="R675" s="531"/>
      <c r="S675" s="531"/>
      <c r="T675" s="531"/>
      <c r="U675" s="531"/>
      <c r="V675" s="531"/>
      <c r="W675" s="531"/>
      <c r="X675" s="531"/>
      <c r="Y675" s="531"/>
      <c r="Z675" s="531"/>
    </row>
    <row r="676" spans="1:26" s="1" customFormat="1">
      <c r="A676" s="531"/>
      <c r="B676" s="531"/>
      <c r="C676" s="531"/>
      <c r="D676" s="531"/>
      <c r="E676" s="531"/>
      <c r="F676" s="531"/>
      <c r="G676" s="531"/>
      <c r="H676" s="531"/>
      <c r="I676" s="531"/>
      <c r="J676" s="531"/>
      <c r="K676" s="531"/>
      <c r="L676" s="531"/>
      <c r="M676" s="531"/>
      <c r="N676" s="531"/>
      <c r="O676" s="531"/>
      <c r="P676" s="531"/>
      <c r="Q676" s="531"/>
      <c r="R676" s="531"/>
      <c r="S676" s="531"/>
      <c r="T676" s="531"/>
      <c r="U676" s="531"/>
      <c r="V676" s="531"/>
      <c r="W676" s="531"/>
      <c r="X676" s="531"/>
      <c r="Y676" s="531"/>
      <c r="Z676" s="531"/>
    </row>
    <row r="677" spans="1:26" s="1" customFormat="1">
      <c r="A677" s="531"/>
      <c r="B677" s="531"/>
      <c r="C677" s="531"/>
      <c r="D677" s="531"/>
      <c r="E677" s="531"/>
      <c r="F677" s="531"/>
      <c r="G677" s="531"/>
      <c r="H677" s="531"/>
      <c r="I677" s="531"/>
      <c r="J677" s="531"/>
      <c r="K677" s="531"/>
      <c r="L677" s="531"/>
      <c r="M677" s="531"/>
      <c r="N677" s="531"/>
      <c r="O677" s="531"/>
      <c r="P677" s="531"/>
      <c r="Q677" s="531"/>
      <c r="R677" s="531"/>
      <c r="S677" s="531"/>
      <c r="T677" s="531"/>
      <c r="U677" s="531"/>
      <c r="V677" s="531"/>
      <c r="W677" s="531"/>
      <c r="X677" s="531"/>
      <c r="Y677" s="531"/>
      <c r="Z677" s="531"/>
    </row>
    <row r="678" spans="1:26" s="1" customFormat="1">
      <c r="A678" s="531"/>
      <c r="B678" s="531"/>
      <c r="C678" s="531"/>
      <c r="D678" s="531"/>
      <c r="E678" s="531"/>
      <c r="F678" s="531"/>
      <c r="G678" s="531"/>
      <c r="H678" s="531"/>
      <c r="I678" s="531"/>
      <c r="J678" s="531"/>
      <c r="K678" s="531"/>
      <c r="L678" s="531"/>
      <c r="M678" s="531"/>
      <c r="N678" s="531"/>
      <c r="O678" s="531"/>
      <c r="P678" s="531"/>
      <c r="Q678" s="531"/>
      <c r="R678" s="531"/>
      <c r="S678" s="531"/>
      <c r="T678" s="531"/>
      <c r="U678" s="531"/>
      <c r="V678" s="531"/>
      <c r="W678" s="531"/>
      <c r="X678" s="531"/>
      <c r="Y678" s="531"/>
      <c r="Z678" s="531"/>
    </row>
    <row r="679" spans="1:26" s="1" customFormat="1">
      <c r="A679" s="531"/>
      <c r="B679" s="531"/>
      <c r="C679" s="531"/>
      <c r="D679" s="531"/>
      <c r="E679" s="531"/>
      <c r="F679" s="531"/>
      <c r="G679" s="531"/>
      <c r="H679" s="531"/>
      <c r="I679" s="531"/>
      <c r="J679" s="531"/>
      <c r="K679" s="531"/>
      <c r="L679" s="531"/>
      <c r="M679" s="531"/>
      <c r="N679" s="531"/>
      <c r="O679" s="531"/>
      <c r="P679" s="531"/>
      <c r="Q679" s="531"/>
      <c r="R679" s="531"/>
      <c r="S679" s="531"/>
      <c r="T679" s="531"/>
      <c r="U679" s="531"/>
      <c r="V679" s="531"/>
      <c r="W679" s="531"/>
      <c r="X679" s="531"/>
      <c r="Y679" s="531"/>
      <c r="Z679" s="531"/>
    </row>
    <row r="680" spans="1:26" s="1" customFormat="1">
      <c r="A680" s="531"/>
      <c r="B680" s="531"/>
      <c r="C680" s="531"/>
      <c r="D680" s="531"/>
      <c r="E680" s="531"/>
      <c r="F680" s="531"/>
      <c r="G680" s="531"/>
      <c r="H680" s="531"/>
      <c r="I680" s="531"/>
      <c r="J680" s="531"/>
      <c r="K680" s="531"/>
      <c r="L680" s="531"/>
      <c r="M680" s="531"/>
      <c r="N680" s="531"/>
      <c r="O680" s="531"/>
      <c r="P680" s="531"/>
      <c r="Q680" s="531"/>
      <c r="R680" s="531"/>
      <c r="S680" s="531"/>
      <c r="T680" s="531"/>
      <c r="U680" s="531"/>
      <c r="V680" s="531"/>
      <c r="W680" s="531"/>
      <c r="X680" s="531"/>
      <c r="Y680" s="531"/>
      <c r="Z680" s="531"/>
    </row>
    <row r="681" spans="1:26" s="1" customFormat="1">
      <c r="A681" s="531"/>
      <c r="B681" s="531"/>
      <c r="C681" s="531"/>
      <c r="D681" s="531"/>
      <c r="E681" s="531"/>
      <c r="F681" s="531"/>
      <c r="G681" s="531"/>
      <c r="H681" s="531"/>
      <c r="I681" s="531"/>
      <c r="J681" s="531"/>
      <c r="K681" s="531"/>
      <c r="L681" s="531"/>
      <c r="M681" s="531"/>
      <c r="N681" s="531"/>
      <c r="O681" s="531"/>
      <c r="P681" s="531"/>
      <c r="Q681" s="531"/>
      <c r="R681" s="531"/>
      <c r="S681" s="531"/>
      <c r="T681" s="531"/>
      <c r="U681" s="531"/>
      <c r="V681" s="531"/>
      <c r="W681" s="531"/>
      <c r="X681" s="531"/>
      <c r="Y681" s="531"/>
      <c r="Z681" s="531"/>
    </row>
    <row r="682" spans="1:26" s="1" customFormat="1">
      <c r="A682" s="531"/>
      <c r="B682" s="531"/>
      <c r="C682" s="531"/>
      <c r="D682" s="531"/>
      <c r="E682" s="531"/>
      <c r="F682" s="531"/>
      <c r="G682" s="531"/>
      <c r="H682" s="531"/>
      <c r="I682" s="531"/>
      <c r="J682" s="531"/>
      <c r="K682" s="531"/>
      <c r="L682" s="531"/>
      <c r="M682" s="531"/>
      <c r="N682" s="531"/>
      <c r="O682" s="531"/>
      <c r="P682" s="531"/>
      <c r="Q682" s="531"/>
      <c r="R682" s="531"/>
      <c r="S682" s="531"/>
      <c r="T682" s="531"/>
      <c r="U682" s="531"/>
      <c r="V682" s="531"/>
      <c r="W682" s="531"/>
      <c r="X682" s="531"/>
      <c r="Y682" s="531"/>
      <c r="Z682" s="531"/>
    </row>
    <row r="683" spans="1:26" s="1" customFormat="1">
      <c r="A683" s="531"/>
      <c r="B683" s="531"/>
      <c r="C683" s="531"/>
      <c r="D683" s="531"/>
      <c r="E683" s="531"/>
      <c r="F683" s="531"/>
      <c r="G683" s="531"/>
      <c r="H683" s="531"/>
      <c r="I683" s="531"/>
      <c r="J683" s="531"/>
      <c r="K683" s="531"/>
      <c r="L683" s="531"/>
      <c r="M683" s="531"/>
      <c r="N683" s="531"/>
      <c r="O683" s="531"/>
      <c r="P683" s="531"/>
      <c r="Q683" s="531"/>
      <c r="R683" s="531"/>
      <c r="S683" s="531"/>
      <c r="T683" s="531"/>
      <c r="U683" s="531"/>
      <c r="V683" s="531"/>
      <c r="W683" s="531"/>
      <c r="X683" s="531"/>
      <c r="Y683" s="531"/>
      <c r="Z683" s="531"/>
    </row>
    <row r="684" spans="1:26" s="1" customFormat="1">
      <c r="A684" s="531"/>
      <c r="B684" s="531"/>
      <c r="C684" s="531"/>
      <c r="D684" s="531"/>
      <c r="E684" s="531"/>
      <c r="F684" s="531"/>
      <c r="G684" s="531"/>
      <c r="H684" s="531"/>
      <c r="I684" s="531"/>
      <c r="J684" s="531"/>
      <c r="K684" s="531"/>
      <c r="L684" s="531"/>
      <c r="M684" s="531"/>
      <c r="N684" s="531"/>
      <c r="O684" s="531"/>
      <c r="P684" s="531"/>
      <c r="Q684" s="531"/>
      <c r="R684" s="531"/>
      <c r="S684" s="531"/>
      <c r="T684" s="531"/>
      <c r="U684" s="531"/>
      <c r="V684" s="531"/>
      <c r="W684" s="531"/>
      <c r="X684" s="531"/>
      <c r="Y684" s="531"/>
      <c r="Z684" s="531"/>
    </row>
    <row r="685" spans="1:26" s="1" customFormat="1">
      <c r="A685" s="531"/>
      <c r="B685" s="531"/>
      <c r="C685" s="531"/>
      <c r="D685" s="531"/>
      <c r="E685" s="531"/>
      <c r="F685" s="531"/>
      <c r="G685" s="531"/>
      <c r="H685" s="531"/>
      <c r="I685" s="531"/>
      <c r="J685" s="531"/>
      <c r="K685" s="531"/>
      <c r="L685" s="531"/>
      <c r="M685" s="531"/>
      <c r="N685" s="531"/>
      <c r="O685" s="531"/>
      <c r="P685" s="531"/>
      <c r="Q685" s="531"/>
      <c r="R685" s="531"/>
      <c r="S685" s="531"/>
      <c r="T685" s="531"/>
      <c r="U685" s="531"/>
      <c r="V685" s="531"/>
      <c r="W685" s="531"/>
      <c r="X685" s="531"/>
      <c r="Y685" s="531"/>
      <c r="Z685" s="531"/>
    </row>
    <row r="686" spans="1:26" s="1" customFormat="1">
      <c r="A686" s="531"/>
      <c r="B686" s="531"/>
      <c r="C686" s="531"/>
      <c r="D686" s="531"/>
      <c r="E686" s="531"/>
      <c r="F686" s="531"/>
      <c r="G686" s="531"/>
      <c r="H686" s="531"/>
      <c r="I686" s="531"/>
      <c r="J686" s="531"/>
      <c r="K686" s="531"/>
      <c r="L686" s="531"/>
      <c r="M686" s="531"/>
      <c r="N686" s="531"/>
      <c r="O686" s="531"/>
      <c r="P686" s="531"/>
      <c r="Q686" s="531"/>
      <c r="R686" s="531"/>
      <c r="S686" s="531"/>
      <c r="T686" s="531"/>
      <c r="U686" s="531"/>
      <c r="V686" s="531"/>
      <c r="W686" s="531"/>
      <c r="X686" s="531"/>
      <c r="Y686" s="531"/>
      <c r="Z686" s="531"/>
    </row>
    <row r="687" spans="1:26" s="1" customFormat="1">
      <c r="A687" s="531"/>
      <c r="B687" s="531"/>
      <c r="C687" s="531"/>
      <c r="D687" s="531"/>
      <c r="E687" s="531"/>
      <c r="F687" s="531"/>
      <c r="G687" s="531"/>
      <c r="H687" s="531"/>
      <c r="I687" s="531"/>
      <c r="J687" s="531"/>
      <c r="K687" s="531"/>
      <c r="L687" s="531"/>
      <c r="M687" s="531"/>
      <c r="N687" s="531"/>
      <c r="O687" s="531"/>
      <c r="P687" s="531"/>
      <c r="Q687" s="531"/>
      <c r="R687" s="531"/>
      <c r="S687" s="531"/>
      <c r="T687" s="531"/>
      <c r="U687" s="531"/>
      <c r="V687" s="531"/>
      <c r="W687" s="531"/>
      <c r="X687" s="531"/>
      <c r="Y687" s="531"/>
      <c r="Z687" s="531"/>
    </row>
    <row r="688" spans="1:26" s="1" customFormat="1">
      <c r="A688" s="531"/>
      <c r="B688" s="531"/>
      <c r="C688" s="531"/>
      <c r="D688" s="531"/>
      <c r="E688" s="531"/>
      <c r="F688" s="531"/>
      <c r="G688" s="531"/>
      <c r="H688" s="531"/>
      <c r="I688" s="531"/>
      <c r="J688" s="531"/>
      <c r="K688" s="531"/>
      <c r="L688" s="531"/>
      <c r="M688" s="531"/>
      <c r="N688" s="531"/>
      <c r="O688" s="531"/>
      <c r="P688" s="531"/>
      <c r="Q688" s="531"/>
      <c r="R688" s="531"/>
      <c r="S688" s="531"/>
      <c r="T688" s="531"/>
      <c r="U688" s="531"/>
      <c r="V688" s="531"/>
      <c r="W688" s="531"/>
      <c r="X688" s="531"/>
      <c r="Y688" s="531"/>
      <c r="Z688" s="531"/>
    </row>
    <row r="689" spans="1:26" s="1" customFormat="1">
      <c r="A689" s="531"/>
      <c r="B689" s="531"/>
      <c r="C689" s="531"/>
      <c r="D689" s="531"/>
      <c r="E689" s="531"/>
      <c r="F689" s="531"/>
      <c r="G689" s="531"/>
      <c r="H689" s="531"/>
      <c r="I689" s="531"/>
      <c r="J689" s="531"/>
      <c r="K689" s="531"/>
      <c r="L689" s="531"/>
      <c r="M689" s="531"/>
      <c r="N689" s="531"/>
      <c r="O689" s="531"/>
      <c r="P689" s="531"/>
      <c r="Q689" s="531"/>
      <c r="R689" s="531"/>
      <c r="S689" s="531"/>
      <c r="T689" s="531"/>
      <c r="U689" s="531"/>
      <c r="V689" s="531"/>
      <c r="W689" s="531"/>
      <c r="X689" s="531"/>
      <c r="Y689" s="531"/>
      <c r="Z689" s="531"/>
    </row>
    <row r="690" spans="1:26" s="1" customFormat="1">
      <c r="A690" s="531"/>
      <c r="B690" s="531"/>
      <c r="C690" s="531"/>
      <c r="D690" s="531"/>
      <c r="E690" s="531"/>
      <c r="F690" s="531"/>
      <c r="G690" s="531"/>
      <c r="H690" s="531"/>
      <c r="I690" s="531"/>
      <c r="J690" s="531"/>
      <c r="K690" s="531"/>
      <c r="L690" s="531"/>
      <c r="M690" s="531"/>
      <c r="N690" s="531"/>
      <c r="O690" s="531"/>
      <c r="P690" s="531"/>
      <c r="Q690" s="531"/>
      <c r="R690" s="531"/>
      <c r="S690" s="531"/>
      <c r="T690" s="531"/>
      <c r="U690" s="531"/>
      <c r="V690" s="531"/>
      <c r="W690" s="531"/>
      <c r="X690" s="531"/>
      <c r="Y690" s="531"/>
      <c r="Z690" s="531"/>
    </row>
    <row r="691" spans="1:26" s="1" customFormat="1">
      <c r="A691" s="531"/>
      <c r="B691" s="531"/>
      <c r="C691" s="531"/>
      <c r="D691" s="531"/>
      <c r="E691" s="531"/>
      <c r="F691" s="531"/>
      <c r="G691" s="531"/>
      <c r="H691" s="531"/>
      <c r="I691" s="531"/>
      <c r="J691" s="531"/>
      <c r="K691" s="531"/>
      <c r="L691" s="531"/>
      <c r="M691" s="531"/>
      <c r="N691" s="531"/>
      <c r="O691" s="531"/>
      <c r="P691" s="531"/>
      <c r="Q691" s="531"/>
      <c r="R691" s="531"/>
      <c r="S691" s="531"/>
      <c r="T691" s="531"/>
      <c r="U691" s="531"/>
      <c r="V691" s="531"/>
      <c r="W691" s="531"/>
      <c r="X691" s="531"/>
      <c r="Y691" s="531"/>
      <c r="Z691" s="531"/>
    </row>
    <row r="692" spans="1:26" s="1" customFormat="1">
      <c r="A692" s="531"/>
      <c r="B692" s="531"/>
      <c r="C692" s="531"/>
      <c r="D692" s="531"/>
      <c r="E692" s="531"/>
      <c r="F692" s="531"/>
      <c r="G692" s="531"/>
      <c r="H692" s="531"/>
      <c r="I692" s="531"/>
      <c r="J692" s="531"/>
      <c r="K692" s="531"/>
      <c r="L692" s="531"/>
      <c r="M692" s="531"/>
      <c r="N692" s="531"/>
      <c r="O692" s="531"/>
      <c r="P692" s="531"/>
      <c r="Q692" s="531"/>
      <c r="R692" s="531"/>
      <c r="S692" s="531"/>
      <c r="T692" s="531"/>
      <c r="U692" s="531"/>
      <c r="V692" s="531"/>
      <c r="W692" s="531"/>
      <c r="X692" s="531"/>
      <c r="Y692" s="531"/>
      <c r="Z692" s="531"/>
    </row>
    <row r="693" spans="1:26" s="1" customFormat="1">
      <c r="A693" s="531"/>
      <c r="B693" s="531"/>
      <c r="C693" s="531"/>
      <c r="D693" s="531"/>
      <c r="E693" s="531"/>
      <c r="F693" s="531"/>
      <c r="G693" s="531"/>
      <c r="H693" s="531"/>
      <c r="I693" s="531"/>
      <c r="J693" s="531"/>
      <c r="K693" s="531"/>
      <c r="L693" s="531"/>
      <c r="M693" s="531"/>
      <c r="N693" s="531"/>
      <c r="O693" s="531"/>
      <c r="P693" s="531"/>
      <c r="Q693" s="531"/>
      <c r="R693" s="531"/>
      <c r="S693" s="531"/>
      <c r="T693" s="531"/>
      <c r="U693" s="531"/>
      <c r="V693" s="531"/>
      <c r="W693" s="531"/>
      <c r="X693" s="531"/>
      <c r="Y693" s="531"/>
      <c r="Z693" s="531"/>
    </row>
    <row r="694" spans="1:26" s="1" customFormat="1">
      <c r="A694" s="531"/>
      <c r="B694" s="531"/>
      <c r="C694" s="531"/>
      <c r="D694" s="531"/>
      <c r="E694" s="531"/>
      <c r="F694" s="531"/>
      <c r="G694" s="531"/>
      <c r="H694" s="531"/>
      <c r="I694" s="531"/>
      <c r="J694" s="531"/>
      <c r="K694" s="531"/>
      <c r="L694" s="531"/>
      <c r="M694" s="531"/>
      <c r="N694" s="531"/>
      <c r="O694" s="531"/>
      <c r="P694" s="531"/>
      <c r="Q694" s="531"/>
      <c r="R694" s="531"/>
      <c r="S694" s="531"/>
      <c r="T694" s="531"/>
      <c r="U694" s="531"/>
      <c r="V694" s="531"/>
      <c r="W694" s="531"/>
      <c r="X694" s="531"/>
      <c r="Y694" s="531"/>
      <c r="Z694" s="531"/>
    </row>
    <row r="695" spans="1:26" s="1" customFormat="1">
      <c r="A695" s="531"/>
      <c r="B695" s="531"/>
      <c r="C695" s="531"/>
      <c r="D695" s="531"/>
      <c r="E695" s="531"/>
      <c r="F695" s="531"/>
      <c r="G695" s="531"/>
      <c r="H695" s="531"/>
      <c r="I695" s="531"/>
      <c r="J695" s="531"/>
      <c r="K695" s="531"/>
      <c r="L695" s="531"/>
      <c r="M695" s="531"/>
      <c r="N695" s="531"/>
      <c r="O695" s="531"/>
      <c r="P695" s="531"/>
      <c r="Q695" s="531"/>
      <c r="R695" s="531"/>
      <c r="S695" s="531"/>
      <c r="T695" s="531"/>
      <c r="U695" s="531"/>
      <c r="V695" s="531"/>
      <c r="W695" s="531"/>
      <c r="X695" s="531"/>
      <c r="Y695" s="531"/>
      <c r="Z695" s="531"/>
    </row>
    <row r="696" spans="1:26" s="1" customFormat="1">
      <c r="A696" s="531"/>
      <c r="B696" s="531"/>
      <c r="C696" s="531"/>
      <c r="D696" s="531"/>
      <c r="E696" s="531"/>
      <c r="F696" s="531"/>
      <c r="G696" s="531"/>
      <c r="H696" s="531"/>
      <c r="I696" s="531"/>
      <c r="J696" s="531"/>
      <c r="K696" s="531"/>
      <c r="L696" s="531"/>
      <c r="M696" s="531"/>
      <c r="N696" s="531"/>
      <c r="O696" s="531"/>
      <c r="P696" s="531"/>
      <c r="Q696" s="531"/>
      <c r="R696" s="531"/>
      <c r="S696" s="531"/>
      <c r="T696" s="531"/>
      <c r="U696" s="531"/>
      <c r="V696" s="531"/>
      <c r="W696" s="531"/>
      <c r="X696" s="531"/>
      <c r="Y696" s="531"/>
      <c r="Z696" s="531"/>
    </row>
    <row r="697" spans="1:26">
      <c r="A697" s="531"/>
      <c r="B697" s="531"/>
      <c r="C697" s="531"/>
      <c r="D697" s="531"/>
      <c r="E697" s="531"/>
      <c r="F697" s="531"/>
      <c r="G697" s="531"/>
      <c r="H697" s="531"/>
      <c r="I697" s="531"/>
      <c r="J697" s="531"/>
      <c r="K697" s="531"/>
      <c r="L697" s="531"/>
      <c r="M697" s="531"/>
      <c r="N697" s="531"/>
      <c r="O697" s="531"/>
      <c r="P697" s="531"/>
      <c r="Q697" s="531"/>
      <c r="R697" s="531"/>
      <c r="S697" s="531"/>
      <c r="T697" s="531"/>
      <c r="U697" s="531"/>
      <c r="V697" s="531"/>
      <c r="W697" s="531"/>
      <c r="X697" s="531"/>
      <c r="Y697" s="531"/>
      <c r="Z697" s="531"/>
    </row>
    <row r="698" spans="1:26">
      <c r="A698" s="531"/>
      <c r="B698" s="531"/>
      <c r="C698" s="531"/>
      <c r="D698" s="531"/>
      <c r="E698" s="531"/>
      <c r="F698" s="531"/>
      <c r="G698" s="531"/>
      <c r="H698" s="531"/>
      <c r="I698" s="531"/>
      <c r="J698" s="531"/>
      <c r="K698" s="531"/>
      <c r="L698" s="531"/>
      <c r="M698" s="531"/>
      <c r="N698" s="531"/>
      <c r="O698" s="531"/>
      <c r="P698" s="531"/>
      <c r="Q698" s="531"/>
      <c r="R698" s="531"/>
      <c r="S698" s="531"/>
      <c r="T698" s="531"/>
      <c r="U698" s="531"/>
      <c r="V698" s="531"/>
      <c r="W698" s="531"/>
      <c r="X698" s="531"/>
      <c r="Y698" s="531"/>
      <c r="Z698" s="531"/>
    </row>
  </sheetData>
  <sheetProtection algorithmName="SHA-512" hashValue="JTuxufePqlrX4dZiLX7KIdNXN+gfbTDvccapTL5nIdwTLoKPzGbt6zjN2jyBFW9WAhO+H0nA1at7C2y8QPEExg==" saltValue="uVZbl57Plxbkv9rmsepDzg==" spinCount="100000" sheet="1" objects="1" scenarios="1" selectLockedCells="1"/>
  <customSheetViews>
    <customSheetView guid="{39DD0EDE-63E7-470F-AA9E-0FA02F254C3F}" scale="85" showGridLines="0" outlineSymbols="0" zeroValues="0" state="hidden" topLeftCell="A130">
      <selection activeCell="E386" sqref="E386"/>
      <rowBreaks count="8" manualBreakCount="8">
        <brk id="56" max="10" man="1"/>
        <brk id="109" max="16383" man="1"/>
        <brk id="157" max="16383" man="1"/>
        <brk id="205" max="16383" man="1"/>
        <brk id="236" max="16383" man="1"/>
        <brk id="282" max="10" man="1"/>
        <brk id="332" max="10" man="1"/>
        <brk id="378" max="16383" man="1"/>
      </rowBreaks>
      <pageMargins left="0.83" right="0.75" top="0.98425196850393704" bottom="0.98425196850393704" header="0.51181102362204722" footer="0.51181102362204722"/>
      <pageSetup paperSize="9" orientation="portrait" r:id="rId1"/>
      <headerFooter alignWithMargins="0">
        <oddHeader>&amp;C&amp;G</oddHeader>
        <oddFooter>Seite &amp;P von &amp;N</oddFooter>
      </headerFooter>
    </customSheetView>
  </customSheetViews>
  <mergeCells count="85">
    <mergeCell ref="I5:J5"/>
    <mergeCell ref="B9:J9"/>
    <mergeCell ref="C5:G5"/>
    <mergeCell ref="B116:I116"/>
    <mergeCell ref="C74:H74"/>
    <mergeCell ref="B68:J68"/>
    <mergeCell ref="B40:C40"/>
    <mergeCell ref="B52:C52"/>
    <mergeCell ref="B55:C55"/>
    <mergeCell ref="B41:C41"/>
    <mergeCell ref="G55:J55"/>
    <mergeCell ref="G59:J59"/>
    <mergeCell ref="A58:E58"/>
    <mergeCell ref="G57:J57"/>
    <mergeCell ref="A72:J72"/>
    <mergeCell ref="B64:J64"/>
    <mergeCell ref="C1:G1"/>
    <mergeCell ref="C2:G2"/>
    <mergeCell ref="C4:G4"/>
    <mergeCell ref="C3:G3"/>
    <mergeCell ref="I1:J1"/>
    <mergeCell ref="I2:J2"/>
    <mergeCell ref="I3:J3"/>
    <mergeCell ref="I4:J4"/>
    <mergeCell ref="B7:J7"/>
    <mergeCell ref="A47:E47"/>
    <mergeCell ref="A35:E35"/>
    <mergeCell ref="A32:E32"/>
    <mergeCell ref="B34:D34"/>
    <mergeCell ref="G32:J32"/>
    <mergeCell ref="G58:J58"/>
    <mergeCell ref="G60:J60"/>
    <mergeCell ref="A62:J62"/>
    <mergeCell ref="G61:J61"/>
    <mergeCell ref="A46:E46"/>
    <mergeCell ref="D50:E50"/>
    <mergeCell ref="C103:D103"/>
    <mergeCell ref="G103:H103"/>
    <mergeCell ref="C101:H101"/>
    <mergeCell ref="G76:H76"/>
    <mergeCell ref="C76:D76"/>
    <mergeCell ref="C83:D83"/>
    <mergeCell ref="G83:H83"/>
    <mergeCell ref="C99:H99"/>
    <mergeCell ref="C81:H81"/>
    <mergeCell ref="C90:H90"/>
    <mergeCell ref="C92:D92"/>
    <mergeCell ref="G92:H92"/>
    <mergeCell ref="A88:J88"/>
    <mergeCell ref="A642:J642"/>
    <mergeCell ref="A591:J591"/>
    <mergeCell ref="A584:J584"/>
    <mergeCell ref="A593:J593"/>
    <mergeCell ref="A626:J626"/>
    <mergeCell ref="C110:H110"/>
    <mergeCell ref="A243:J243"/>
    <mergeCell ref="A376:J376"/>
    <mergeCell ref="A115:J115"/>
    <mergeCell ref="A117:J117"/>
    <mergeCell ref="A192:J192"/>
    <mergeCell ref="A250:J250"/>
    <mergeCell ref="A325:J325"/>
    <mergeCell ref="A194:J194"/>
    <mergeCell ref="A227:J227"/>
    <mergeCell ref="A252:J252"/>
    <mergeCell ref="A288:J288"/>
    <mergeCell ref="A112:J112"/>
    <mergeCell ref="A113:J113"/>
    <mergeCell ref="A119:J119"/>
    <mergeCell ref="A155:J155"/>
    <mergeCell ref="A185:J185"/>
    <mergeCell ref="A318:J318"/>
    <mergeCell ref="A327:J327"/>
    <mergeCell ref="A360:J360"/>
    <mergeCell ref="A385:J385"/>
    <mergeCell ref="A421:J421"/>
    <mergeCell ref="A383:J383"/>
    <mergeCell ref="A451:J451"/>
    <mergeCell ref="A460:J460"/>
    <mergeCell ref="A493:J493"/>
    <mergeCell ref="A518:J518"/>
    <mergeCell ref="A554:J554"/>
    <mergeCell ref="A516:J516"/>
    <mergeCell ref="A509:J509"/>
    <mergeCell ref="A458:J458"/>
  </mergeCells>
  <phoneticPr fontId="25" type="noConversion"/>
  <conditionalFormatting sqref="B114:K114">
    <cfRule type="cellIs" dxfId="60" priority="20" operator="equal">
      <formula>"Verankerung ist nicht zulässig"</formula>
    </cfRule>
    <cfRule type="cellIs" dxfId="59" priority="21" operator="equal">
      <formula>"Verankerung ist zulässig"</formula>
    </cfRule>
  </conditionalFormatting>
  <conditionalFormatting sqref="C98">
    <cfRule type="expression" dxfId="58" priority="15">
      <formula>$C$98&gt;100</formula>
    </cfRule>
  </conditionalFormatting>
  <conditionalFormatting sqref="D98">
    <cfRule type="expression" dxfId="57" priority="14">
      <formula>$D$98&gt;100</formula>
    </cfRule>
  </conditionalFormatting>
  <conditionalFormatting sqref="G98">
    <cfRule type="expression" dxfId="56" priority="13">
      <formula>$G$98&gt;100</formula>
    </cfRule>
  </conditionalFormatting>
  <conditionalFormatting sqref="H98">
    <cfRule type="expression" dxfId="55" priority="12">
      <formula>$H$98&gt;100</formula>
    </cfRule>
  </conditionalFormatting>
  <conditionalFormatting sqref="D109">
    <cfRule type="expression" dxfId="54" priority="10">
      <formula>$D$109&gt;100</formula>
    </cfRule>
  </conditionalFormatting>
  <conditionalFormatting sqref="G109">
    <cfRule type="expression" dxfId="53" priority="9">
      <formula>$G$109&gt;100</formula>
    </cfRule>
  </conditionalFormatting>
  <conditionalFormatting sqref="H109">
    <cfRule type="expression" dxfId="52" priority="8">
      <formula>$H$109&gt;100</formula>
    </cfRule>
  </conditionalFormatting>
  <conditionalFormatting sqref="C110:H110">
    <cfRule type="expression" dxfId="51" priority="7">
      <formula>$C$110="Verankerung Randbereich nicht zulässig"</formula>
    </cfRule>
  </conditionalFormatting>
  <conditionalFormatting sqref="C99:H99">
    <cfRule type="expression" dxfId="50" priority="6">
      <formula>$C$99="Verankerung Mittelbereich nicht zulässig"</formula>
    </cfRule>
  </conditionalFormatting>
  <conditionalFormatting sqref="G59:J59">
    <cfRule type="cellIs" dxfId="49" priority="4" operator="equal">
      <formula>"Falsche Dimension Kopfbolzen"</formula>
    </cfRule>
  </conditionalFormatting>
  <conditionalFormatting sqref="C109">
    <cfRule type="expression" dxfId="48" priority="138">
      <formula>$C$109&gt;100</formula>
    </cfRule>
  </conditionalFormatting>
  <pageMargins left="0.82677165354330717" right="0.35433070866141736" top="0.78740157480314965" bottom="0.39370078740157483" header="0.31496062992125984" footer="0.31496062992125984"/>
  <pageSetup paperSize="9" scale="94" orientation="portrait" horizontalDpi="4294967293" verticalDpi="4294967293" r:id="rId2"/>
  <headerFooter alignWithMargins="0">
    <oddHeader>&amp;C&amp;G</oddHeader>
    <oddFooter>Seite &amp;P von &amp;N</oddFooter>
  </headerFooter>
  <rowBreaks count="11" manualBreakCount="11">
    <brk id="61" max="9" man="1"/>
    <brk id="116" max="9" man="1"/>
    <brk id="170" max="9" man="1"/>
    <brk id="226" max="9" man="1"/>
    <brk id="287" max="9" man="1"/>
    <brk id="343" max="9" man="1"/>
    <brk id="407" max="9" man="1"/>
    <brk id="457" max="9" man="1"/>
    <brk id="515" max="9" man="1"/>
    <brk id="569" max="9" man="1"/>
    <brk id="625" max="9" man="1"/>
  </rowBreaks>
  <ignoredErrors>
    <ignoredError sqref="D78 D85 D95 D106" unlockedFormula="1"/>
  </ignoredError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 id="{9046CE56-7DB9-47B6-891E-381E6B6DB517}">
            <xm:f>Eingabe!AC32=1</xm:f>
            <x14:dxf>
              <font>
                <b/>
                <i val="0"/>
                <color theme="1"/>
              </font>
              <fill>
                <patternFill>
                  <bgColor rgb="FFC00000"/>
                </patternFill>
              </fill>
            </x14:dxf>
          </x14:cfRule>
          <xm:sqref>A46:E46</xm:sqref>
        </x14:conditionalFormatting>
        <x14:conditionalFormatting xmlns:xm="http://schemas.microsoft.com/office/excel/2006/main">
          <x14:cfRule type="expression" priority="2" id="{83FCE769-A78D-4C64-8926-FEFFFBC8C987}">
            <xm:f>Eingabe!N2=0</xm:f>
            <x14:dxf>
              <font>
                <color theme="0"/>
              </font>
            </x14:dxf>
          </x14:cfRule>
          <xm:sqref>B50</xm:sqref>
        </x14:conditionalFormatting>
        <x14:conditionalFormatting xmlns:xm="http://schemas.microsoft.com/office/excel/2006/main">
          <x14:cfRule type="expression" priority="1" id="{C425520C-4A10-4F33-B202-EF98D4E68BFD}">
            <xm:f>Eingabe!N2=0</xm:f>
            <x14:dxf>
              <font>
                <color theme="0"/>
              </font>
            </x14:dxf>
          </x14:cfRule>
          <xm:sqref>D50:E50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rgb="FFC00000"/>
  </sheetPr>
  <dimension ref="A1:W457"/>
  <sheetViews>
    <sheetView showGridLines="0" showRowColHeaders="0" showZeros="0" showOutlineSymbols="0" zoomScaleNormal="100" zoomScaleSheetLayoutView="100" workbookViewId="0">
      <selection activeCell="A434" sqref="A434"/>
    </sheetView>
  </sheetViews>
  <sheetFormatPr baseColWidth="10" defaultColWidth="11.33203125" defaultRowHeight="12.7"/>
  <cols>
    <col min="1" max="1" width="1.33203125" style="65" customWidth="1"/>
    <col min="2" max="4" width="12" style="65" customWidth="1"/>
    <col min="5" max="5" width="5" style="65" customWidth="1"/>
    <col min="6" max="6" width="1.33203125" style="65" customWidth="1"/>
    <col min="7" max="9" width="12" style="65" customWidth="1"/>
    <col min="10" max="10" width="6.88671875" style="65" customWidth="1"/>
    <col min="11" max="11" width="3" style="65" customWidth="1"/>
    <col min="12" max="12" width="144.33203125" style="65" customWidth="1"/>
    <col min="13" max="15" width="12" style="65" customWidth="1"/>
    <col min="16" max="16" width="5" style="65" customWidth="1"/>
    <col min="17" max="17" width="1.33203125" style="65" customWidth="1"/>
    <col min="18" max="20" width="12" style="65" customWidth="1"/>
    <col min="21" max="21" width="5" style="65" customWidth="1"/>
    <col min="22" max="22" width="1.33203125" style="65" customWidth="1"/>
    <col min="23" max="16384" width="11.33203125" style="65"/>
  </cols>
  <sheetData>
    <row r="1" spans="1:19">
      <c r="A1" s="349"/>
      <c r="B1" s="534" t="s">
        <v>54</v>
      </c>
      <c r="C1" s="1057"/>
      <c r="D1" s="1057"/>
      <c r="E1" s="1057"/>
      <c r="F1" s="1057"/>
      <c r="G1" s="1057"/>
      <c r="H1" s="536" t="s">
        <v>55</v>
      </c>
      <c r="I1" s="1061"/>
      <c r="J1" s="1062"/>
      <c r="K1" s="532"/>
      <c r="L1" s="402"/>
      <c r="M1" s="531"/>
      <c r="N1" s="531"/>
      <c r="O1" s="531"/>
      <c r="P1" s="531"/>
      <c r="Q1" s="531"/>
      <c r="R1" s="531"/>
      <c r="S1" s="531"/>
    </row>
    <row r="2" spans="1:19">
      <c r="A2" s="352"/>
      <c r="B2" s="417" t="s">
        <v>56</v>
      </c>
      <c r="C2" s="1059"/>
      <c r="D2" s="1059"/>
      <c r="E2" s="1059"/>
      <c r="F2" s="1059"/>
      <c r="G2" s="1059"/>
      <c r="H2" s="537" t="s">
        <v>57</v>
      </c>
      <c r="I2" s="1061"/>
      <c r="J2" s="1062"/>
      <c r="K2" s="532"/>
      <c r="L2" s="402"/>
      <c r="M2" s="531"/>
      <c r="N2" s="531"/>
      <c r="O2" s="531"/>
      <c r="P2" s="531"/>
      <c r="Q2" s="531"/>
      <c r="R2" s="531"/>
      <c r="S2" s="531"/>
    </row>
    <row r="3" spans="1:19">
      <c r="A3" s="349"/>
      <c r="B3" s="534" t="s">
        <v>58</v>
      </c>
      <c r="C3" s="1057"/>
      <c r="D3" s="1057"/>
      <c r="E3" s="1057"/>
      <c r="F3" s="1057"/>
      <c r="G3" s="1057"/>
      <c r="H3" s="536" t="s">
        <v>59</v>
      </c>
      <c r="I3" s="1061"/>
      <c r="J3" s="1062"/>
      <c r="K3" s="532"/>
      <c r="L3" s="402"/>
      <c r="M3" s="531"/>
      <c r="N3" s="531"/>
      <c r="O3" s="531"/>
      <c r="P3" s="531"/>
      <c r="Q3" s="531"/>
      <c r="R3" s="531"/>
      <c r="S3" s="531"/>
    </row>
    <row r="4" spans="1:19">
      <c r="A4" s="353"/>
      <c r="B4" s="535" t="s">
        <v>60</v>
      </c>
      <c r="C4" s="1060"/>
      <c r="D4" s="1060"/>
      <c r="E4" s="1060"/>
      <c r="F4" s="1060"/>
      <c r="G4" s="1060"/>
      <c r="H4" s="538" t="s">
        <v>61</v>
      </c>
      <c r="I4" s="1090"/>
      <c r="J4" s="1091"/>
      <c r="K4" s="532"/>
      <c r="L4" s="402"/>
      <c r="M4" s="531"/>
      <c r="N4" s="531"/>
      <c r="O4" s="531"/>
      <c r="P4" s="531"/>
      <c r="Q4" s="531"/>
      <c r="R4" s="531"/>
      <c r="S4" s="531"/>
    </row>
    <row r="5" spans="1:19">
      <c r="A5" s="349"/>
      <c r="B5" s="534" t="s">
        <v>62</v>
      </c>
      <c r="C5" s="1057"/>
      <c r="D5" s="1057"/>
      <c r="E5" s="1057"/>
      <c r="F5" s="1057"/>
      <c r="G5" s="1057"/>
      <c r="H5" s="536" t="s">
        <v>63</v>
      </c>
      <c r="I5" s="1063">
        <f ca="1">TODAY()</f>
        <v>44102</v>
      </c>
      <c r="J5" s="1092"/>
      <c r="K5" s="518"/>
      <c r="L5" s="531"/>
      <c r="M5" s="531"/>
      <c r="N5" s="531"/>
      <c r="O5" s="531"/>
      <c r="P5" s="531"/>
      <c r="Q5" s="531"/>
      <c r="R5" s="531"/>
      <c r="S5" s="531"/>
    </row>
    <row r="6" spans="1:19" s="1" customFormat="1">
      <c r="A6" s="402"/>
      <c r="B6" s="531"/>
      <c r="C6" s="529"/>
      <c r="D6" s="529"/>
      <c r="E6" s="529"/>
      <c r="F6" s="529"/>
      <c r="G6" s="529"/>
      <c r="H6" s="1095"/>
      <c r="I6" s="1095"/>
      <c r="J6" s="1095"/>
      <c r="K6" s="402"/>
      <c r="L6" s="531"/>
      <c r="M6" s="531"/>
      <c r="N6" s="531"/>
      <c r="O6" s="531"/>
      <c r="P6" s="531"/>
      <c r="Q6" s="531"/>
      <c r="R6" s="531"/>
      <c r="S6" s="531"/>
    </row>
    <row r="7" spans="1:19" s="467" customFormat="1" ht="27.65" customHeight="1">
      <c r="A7" s="402"/>
      <c r="B7" s="1096" t="s">
        <v>538</v>
      </c>
      <c r="C7" s="1096"/>
      <c r="D7" s="1096"/>
      <c r="E7" s="1096"/>
      <c r="F7" s="1096"/>
      <c r="G7" s="1096"/>
      <c r="H7" s="1096"/>
      <c r="I7" s="1096"/>
      <c r="J7" s="1096"/>
      <c r="K7" s="402"/>
      <c r="L7" s="531"/>
      <c r="M7" s="531"/>
      <c r="N7" s="531"/>
      <c r="O7" s="531"/>
      <c r="P7" s="531"/>
      <c r="Q7" s="531"/>
      <c r="R7" s="531"/>
      <c r="S7" s="531"/>
    </row>
    <row r="8" spans="1:19" s="1" customFormat="1" ht="5.9" customHeight="1">
      <c r="A8" s="402"/>
      <c r="B8" s="531"/>
      <c r="C8" s="280"/>
      <c r="D8" s="280"/>
      <c r="E8" s="280"/>
      <c r="F8" s="280"/>
      <c r="G8" s="280"/>
      <c r="H8" s="531"/>
      <c r="I8" s="531"/>
      <c r="J8" s="531"/>
      <c r="K8" s="402"/>
      <c r="L8" s="531"/>
      <c r="M8" s="531"/>
      <c r="N8" s="531"/>
      <c r="O8" s="531"/>
      <c r="P8" s="531"/>
      <c r="Q8" s="531"/>
      <c r="R8" s="531"/>
      <c r="S8" s="531"/>
    </row>
    <row r="9" spans="1:19" s="1" customFormat="1" ht="15.55">
      <c r="A9" s="471"/>
      <c r="B9" s="1065" t="s">
        <v>70</v>
      </c>
      <c r="C9" s="1065"/>
      <c r="D9" s="1065"/>
      <c r="E9" s="1065"/>
      <c r="F9" s="1065"/>
      <c r="G9" s="1065"/>
      <c r="H9" s="1065"/>
      <c r="I9" s="1065"/>
      <c r="J9" s="1066"/>
      <c r="K9" s="246"/>
      <c r="L9" s="2"/>
      <c r="M9" s="531"/>
      <c r="N9" s="531"/>
      <c r="O9" s="531"/>
      <c r="P9" s="531"/>
      <c r="Q9" s="531"/>
      <c r="R9" s="531"/>
      <c r="S9" s="531"/>
    </row>
    <row r="10" spans="1:19" s="1" customFormat="1" ht="3.75" customHeight="1">
      <c r="A10" s="30"/>
      <c r="B10" s="402"/>
      <c r="C10" s="402"/>
      <c r="D10" s="525"/>
      <c r="E10" s="402"/>
      <c r="F10" s="402"/>
      <c r="G10" s="525"/>
      <c r="H10" s="402"/>
      <c r="I10" s="525"/>
      <c r="J10" s="417"/>
      <c r="K10" s="402"/>
      <c r="L10" s="531"/>
      <c r="M10" s="531"/>
      <c r="N10" s="531"/>
      <c r="O10" s="531"/>
      <c r="P10" s="531"/>
      <c r="Q10" s="531"/>
      <c r="R10" s="531"/>
      <c r="S10" s="531"/>
    </row>
    <row r="11" spans="1:19" s="1" customFormat="1" ht="4.75" customHeight="1">
      <c r="A11" s="7"/>
      <c r="B11" s="518"/>
      <c r="C11" s="518"/>
      <c r="D11" s="3"/>
      <c r="E11" s="518"/>
      <c r="F11" s="518"/>
      <c r="G11" s="3"/>
      <c r="H11" s="518"/>
      <c r="I11" s="3"/>
      <c r="J11" s="8"/>
      <c r="K11" s="518"/>
      <c r="L11" s="2"/>
      <c r="M11" s="2"/>
      <c r="N11" s="531"/>
      <c r="O11" s="531"/>
      <c r="P11" s="531"/>
      <c r="Q11" s="531"/>
      <c r="R11" s="531"/>
      <c r="S11" s="531"/>
    </row>
    <row r="12" spans="1:19" s="1" customFormat="1">
      <c r="A12" s="7"/>
      <c r="B12" s="518"/>
      <c r="C12" s="518"/>
      <c r="D12" s="3"/>
      <c r="E12" s="518"/>
      <c r="F12" s="518"/>
      <c r="G12" s="3"/>
      <c r="H12" s="518"/>
      <c r="I12" s="3"/>
      <c r="J12" s="8"/>
      <c r="K12" s="518"/>
      <c r="L12" s="2"/>
      <c r="M12" s="2"/>
      <c r="N12" s="531"/>
      <c r="O12" s="531"/>
      <c r="P12" s="531"/>
      <c r="Q12" s="531"/>
      <c r="R12" s="531"/>
      <c r="S12" s="531"/>
    </row>
    <row r="13" spans="1:19" s="1" customFormat="1">
      <c r="A13" s="7"/>
      <c r="B13" s="518"/>
      <c r="C13" s="518"/>
      <c r="D13" s="3"/>
      <c r="E13" s="518"/>
      <c r="F13" s="518"/>
      <c r="G13" s="3"/>
      <c r="H13" s="518"/>
      <c r="I13" s="3"/>
      <c r="J13" s="8"/>
      <c r="K13" s="518"/>
      <c r="L13" s="2"/>
      <c r="M13" s="2"/>
      <c r="N13" s="531"/>
      <c r="O13" s="531"/>
      <c r="P13" s="531"/>
      <c r="Q13" s="531"/>
      <c r="R13" s="531"/>
      <c r="S13" s="531"/>
    </row>
    <row r="14" spans="1:19" s="1" customFormat="1">
      <c r="A14" s="7"/>
      <c r="B14" s="518"/>
      <c r="C14" s="518"/>
      <c r="D14" s="3"/>
      <c r="E14" s="518"/>
      <c r="F14" s="518"/>
      <c r="G14" s="3"/>
      <c r="H14" s="518"/>
      <c r="I14" s="3"/>
      <c r="J14" s="8"/>
      <c r="K14" s="518"/>
      <c r="L14" s="2"/>
      <c r="M14" s="2"/>
      <c r="N14" s="531"/>
      <c r="O14" s="531"/>
      <c r="P14" s="531"/>
      <c r="Q14" s="531"/>
      <c r="R14" s="531"/>
      <c r="S14" s="531"/>
    </row>
    <row r="15" spans="1:19" s="1" customFormat="1">
      <c r="A15" s="7"/>
      <c r="B15" s="518"/>
      <c r="C15" s="518"/>
      <c r="D15" s="3"/>
      <c r="E15" s="518"/>
      <c r="F15" s="518"/>
      <c r="G15" s="3"/>
      <c r="H15" s="518"/>
      <c r="I15" s="3"/>
      <c r="J15" s="8"/>
      <c r="K15" s="518"/>
      <c r="L15" s="2"/>
      <c r="M15" s="2"/>
      <c r="N15" s="531"/>
      <c r="O15" s="531"/>
      <c r="P15" s="531"/>
      <c r="Q15" s="531"/>
      <c r="R15" s="531"/>
      <c r="S15" s="531"/>
    </row>
    <row r="16" spans="1:19" s="1" customFormat="1">
      <c r="A16" s="7"/>
      <c r="B16" s="518"/>
      <c r="C16" s="518"/>
      <c r="D16" s="3"/>
      <c r="E16" s="518"/>
      <c r="F16" s="518"/>
      <c r="G16" s="3"/>
      <c r="H16" s="518"/>
      <c r="I16" s="3"/>
      <c r="J16" s="8"/>
      <c r="K16" s="518"/>
      <c r="L16" s="2"/>
      <c r="M16" s="2"/>
      <c r="N16" s="531"/>
      <c r="O16" s="531"/>
      <c r="P16" s="531"/>
      <c r="Q16" s="531"/>
      <c r="R16" s="531"/>
      <c r="S16" s="531"/>
    </row>
    <row r="17" spans="1:19" s="1" customFormat="1">
      <c r="A17" s="7"/>
      <c r="B17" s="518"/>
      <c r="C17" s="518"/>
      <c r="D17" s="3"/>
      <c r="E17" s="518"/>
      <c r="F17" s="518"/>
      <c r="G17" s="3"/>
      <c r="H17" s="518"/>
      <c r="I17" s="3"/>
      <c r="J17" s="8"/>
      <c r="K17" s="518"/>
      <c r="L17" s="2"/>
      <c r="M17" s="2"/>
      <c r="N17" s="531"/>
      <c r="O17" s="531"/>
      <c r="P17" s="531"/>
      <c r="Q17" s="531"/>
      <c r="R17" s="531"/>
      <c r="S17" s="531"/>
    </row>
    <row r="18" spans="1:19" s="1" customFormat="1">
      <c r="A18" s="7"/>
      <c r="B18" s="518"/>
      <c r="C18" s="518"/>
      <c r="D18" s="3"/>
      <c r="E18" s="518"/>
      <c r="F18" s="518"/>
      <c r="G18" s="3"/>
      <c r="H18" s="518"/>
      <c r="I18" s="3"/>
      <c r="J18" s="8"/>
      <c r="K18" s="518"/>
      <c r="L18" s="2"/>
      <c r="M18" s="2"/>
      <c r="N18" s="531"/>
      <c r="O18" s="531"/>
      <c r="P18" s="531"/>
      <c r="Q18" s="531"/>
      <c r="R18" s="531"/>
      <c r="S18" s="531"/>
    </row>
    <row r="19" spans="1:19" s="1" customFormat="1">
      <c r="A19" s="7"/>
      <c r="B19" s="518"/>
      <c r="C19" s="518"/>
      <c r="D19" s="3"/>
      <c r="E19" s="518"/>
      <c r="F19" s="518"/>
      <c r="G19" s="3"/>
      <c r="H19" s="518"/>
      <c r="I19" s="3"/>
      <c r="J19" s="8"/>
      <c r="K19" s="518"/>
      <c r="L19" s="2"/>
      <c r="M19" s="2"/>
      <c r="N19" s="531"/>
      <c r="O19" s="531"/>
      <c r="P19" s="531"/>
      <c r="Q19" s="531"/>
      <c r="R19" s="531"/>
      <c r="S19" s="531"/>
    </row>
    <row r="20" spans="1:19" s="1" customFormat="1">
      <c r="A20" s="7"/>
      <c r="B20" s="518"/>
      <c r="C20" s="518"/>
      <c r="D20" s="518"/>
      <c r="E20" s="518"/>
      <c r="F20" s="518"/>
      <c r="G20" s="518"/>
      <c r="H20" s="518"/>
      <c r="I20" s="518"/>
      <c r="J20" s="8"/>
      <c r="K20" s="518"/>
      <c r="L20" s="2"/>
      <c r="M20" s="2"/>
      <c r="N20" s="531"/>
      <c r="O20" s="531"/>
      <c r="P20" s="531"/>
      <c r="Q20" s="531"/>
      <c r="R20" s="531"/>
      <c r="S20" s="531"/>
    </row>
    <row r="21" spans="1:19" s="1" customFormat="1">
      <c r="A21" s="7"/>
      <c r="B21" s="518"/>
      <c r="C21" s="518"/>
      <c r="D21" s="518"/>
      <c r="E21" s="518"/>
      <c r="F21" s="518"/>
      <c r="G21" s="518"/>
      <c r="H21" s="518"/>
      <c r="I21" s="518"/>
      <c r="J21" s="8"/>
      <c r="K21" s="518"/>
      <c r="L21" s="2"/>
      <c r="M21" s="2"/>
      <c r="N21" s="531"/>
      <c r="O21" s="531"/>
      <c r="P21" s="531"/>
      <c r="Q21" s="531"/>
      <c r="R21" s="531"/>
      <c r="S21" s="531"/>
    </row>
    <row r="22" spans="1:19" s="1" customFormat="1">
      <c r="A22" s="7"/>
      <c r="B22" s="518"/>
      <c r="C22" s="518"/>
      <c r="D22" s="518"/>
      <c r="E22" s="518"/>
      <c r="F22" s="518"/>
      <c r="G22" s="518"/>
      <c r="H22" s="518"/>
      <c r="I22" s="518"/>
      <c r="J22" s="8"/>
      <c r="K22" s="518"/>
      <c r="L22" s="2"/>
      <c r="M22" s="2"/>
      <c r="N22" s="531"/>
      <c r="O22" s="531"/>
      <c r="P22" s="531"/>
      <c r="Q22" s="531"/>
      <c r="R22" s="531"/>
      <c r="S22" s="531"/>
    </row>
    <row r="23" spans="1:19" s="1" customFormat="1">
      <c r="A23" s="7"/>
      <c r="B23" s="518"/>
      <c r="C23" s="518"/>
      <c r="D23" s="518"/>
      <c r="E23" s="518"/>
      <c r="F23" s="518"/>
      <c r="G23" s="518"/>
      <c r="H23" s="518"/>
      <c r="I23" s="518"/>
      <c r="J23" s="8"/>
      <c r="K23" s="518"/>
      <c r="L23" s="2"/>
      <c r="M23" s="2"/>
      <c r="N23" s="531"/>
      <c r="O23" s="531"/>
      <c r="P23" s="531"/>
      <c r="Q23" s="531"/>
      <c r="R23" s="531"/>
      <c r="S23" s="531"/>
    </row>
    <row r="24" spans="1:19" s="1" customFormat="1">
      <c r="A24" s="7"/>
      <c r="B24" s="518"/>
      <c r="C24" s="518"/>
      <c r="D24" s="3"/>
      <c r="E24" s="518"/>
      <c r="F24" s="518"/>
      <c r="G24" s="3"/>
      <c r="H24" s="518"/>
      <c r="I24" s="3"/>
      <c r="J24" s="8"/>
      <c r="K24" s="518"/>
      <c r="L24" s="2"/>
      <c r="M24" s="2"/>
      <c r="N24" s="531"/>
      <c r="O24" s="531"/>
      <c r="P24" s="531"/>
      <c r="Q24" s="531"/>
      <c r="R24" s="531"/>
      <c r="S24" s="531"/>
    </row>
    <row r="25" spans="1:19" s="1" customFormat="1">
      <c r="A25" s="7"/>
      <c r="B25" s="518"/>
      <c r="C25" s="518"/>
      <c r="D25" s="3"/>
      <c r="E25" s="518"/>
      <c r="F25" s="518"/>
      <c r="G25" s="3"/>
      <c r="H25" s="518"/>
      <c r="I25" s="3"/>
      <c r="J25" s="8"/>
      <c r="K25" s="518"/>
      <c r="L25" s="2"/>
      <c r="M25" s="2"/>
      <c r="N25" s="531"/>
      <c r="O25" s="531"/>
      <c r="P25" s="531"/>
      <c r="Q25" s="531"/>
      <c r="R25" s="531"/>
      <c r="S25" s="531"/>
    </row>
    <row r="26" spans="1:19" s="1" customFormat="1" ht="16" customHeight="1">
      <c r="A26" s="7"/>
      <c r="B26" s="518"/>
      <c r="C26" s="518"/>
      <c r="D26" s="3"/>
      <c r="E26" s="518"/>
      <c r="F26" s="518"/>
      <c r="G26" s="3"/>
      <c r="H26" s="518"/>
      <c r="I26" s="3"/>
      <c r="J26" s="8"/>
      <c r="K26" s="518"/>
      <c r="L26" s="2"/>
      <c r="M26" s="2"/>
      <c r="N26" s="531"/>
      <c r="O26" s="531"/>
      <c r="P26" s="531"/>
      <c r="Q26" s="531"/>
      <c r="R26" s="531"/>
      <c r="S26" s="531"/>
    </row>
    <row r="27" spans="1:19" s="1" customFormat="1" ht="13" customHeight="1">
      <c r="A27" s="7"/>
      <c r="B27" s="4" t="s">
        <v>608</v>
      </c>
      <c r="C27" s="518"/>
      <c r="D27" s="3"/>
      <c r="E27" s="518"/>
      <c r="F27" s="518"/>
      <c r="G27" s="3"/>
      <c r="H27" s="518"/>
      <c r="I27" s="3"/>
      <c r="J27" s="8"/>
      <c r="K27" s="518"/>
      <c r="L27" s="2"/>
      <c r="M27" s="2"/>
      <c r="N27" s="531"/>
      <c r="O27" s="531"/>
      <c r="P27" s="531"/>
      <c r="Q27" s="531"/>
      <c r="R27" s="531"/>
      <c r="S27" s="531"/>
    </row>
    <row r="28" spans="1:19" s="1" customFormat="1" ht="1.75" customHeight="1">
      <c r="A28" s="7"/>
      <c r="B28" s="518"/>
      <c r="C28" s="518"/>
      <c r="D28" s="3"/>
      <c r="E28" s="518"/>
      <c r="F28" s="518"/>
      <c r="G28" s="3"/>
      <c r="H28" s="518"/>
      <c r="I28" s="3"/>
      <c r="J28" s="8"/>
      <c r="K28" s="518"/>
      <c r="L28" s="2"/>
      <c r="M28" s="2"/>
      <c r="N28" s="531"/>
      <c r="O28" s="531"/>
      <c r="P28" s="531"/>
      <c r="Q28" s="531"/>
      <c r="R28" s="531"/>
      <c r="S28" s="531"/>
    </row>
    <row r="29" spans="1:19" s="1" customFormat="1" ht="2.2999999999999998" customHeight="1">
      <c r="A29" s="7"/>
      <c r="B29" s="518"/>
      <c r="C29" s="518"/>
      <c r="D29" s="3"/>
      <c r="E29" s="518"/>
      <c r="F29" s="518"/>
      <c r="G29" s="3"/>
      <c r="H29" s="518"/>
      <c r="I29" s="3"/>
      <c r="J29" s="8"/>
      <c r="K29" s="518"/>
      <c r="L29" s="2"/>
      <c r="M29" s="2"/>
      <c r="N29" s="531"/>
      <c r="O29" s="531"/>
      <c r="P29" s="531"/>
      <c r="Q29" s="531"/>
      <c r="R29" s="531"/>
      <c r="S29" s="531"/>
    </row>
    <row r="30" spans="1:19" s="1" customFormat="1" ht="1.75" customHeight="1">
      <c r="A30" s="7"/>
      <c r="B30" s="518"/>
      <c r="C30" s="518"/>
      <c r="D30" s="518"/>
      <c r="E30" s="518"/>
      <c r="F30" s="518"/>
      <c r="G30" s="518"/>
      <c r="H30" s="518"/>
      <c r="I30" s="518"/>
      <c r="J30" s="8"/>
      <c r="K30" s="518"/>
      <c r="L30" s="2"/>
      <c r="M30" s="2"/>
      <c r="N30" s="531"/>
      <c r="O30" s="531"/>
      <c r="P30" s="531"/>
      <c r="Q30" s="531"/>
      <c r="R30" s="531"/>
      <c r="S30" s="531"/>
    </row>
    <row r="31" spans="1:19" s="1" customFormat="1" ht="3.75" customHeight="1">
      <c r="A31" s="7"/>
      <c r="B31" s="518"/>
      <c r="C31" s="518"/>
      <c r="D31" s="518"/>
      <c r="E31" s="518"/>
      <c r="F31" s="28"/>
      <c r="G31" s="28"/>
      <c r="H31" s="28"/>
      <c r="I31" s="28"/>
      <c r="J31" s="22"/>
      <c r="K31" s="518"/>
      <c r="L31" s="518"/>
      <c r="M31" s="2"/>
      <c r="N31" s="531"/>
      <c r="O31" s="531"/>
      <c r="P31" s="531"/>
      <c r="Q31" s="531"/>
      <c r="R31" s="531"/>
      <c r="S31" s="531"/>
    </row>
    <row r="32" spans="1:19" s="1" customFormat="1" ht="15.55">
      <c r="A32" s="1097" t="s">
        <v>203</v>
      </c>
      <c r="B32" s="1065"/>
      <c r="C32" s="1065"/>
      <c r="D32" s="1065"/>
      <c r="E32" s="1066"/>
      <c r="F32" s="518"/>
      <c r="G32" s="1097" t="s">
        <v>474</v>
      </c>
      <c r="H32" s="1065"/>
      <c r="I32" s="1065"/>
      <c r="J32" s="1066"/>
      <c r="K32" s="501"/>
      <c r="L32" s="518"/>
      <c r="M32" s="531"/>
      <c r="N32" s="531"/>
      <c r="O32" s="531"/>
      <c r="P32" s="531"/>
      <c r="Q32" s="531"/>
      <c r="R32" s="531"/>
      <c r="S32" s="531"/>
    </row>
    <row r="33" spans="1:19" s="1" customFormat="1" ht="3.75" customHeight="1">
      <c r="A33" s="30"/>
      <c r="B33" s="402"/>
      <c r="C33" s="402"/>
      <c r="D33" s="402"/>
      <c r="E33" s="31"/>
      <c r="F33" s="402"/>
      <c r="G33" s="403"/>
      <c r="H33" s="416"/>
      <c r="I33" s="416"/>
      <c r="J33" s="417"/>
      <c r="K33" s="402"/>
      <c r="L33" s="402"/>
      <c r="M33" s="531"/>
      <c r="N33" s="531"/>
      <c r="O33" s="531"/>
      <c r="P33" s="531"/>
      <c r="Q33" s="531"/>
      <c r="R33" s="531"/>
      <c r="S33" s="531"/>
    </row>
    <row r="34" spans="1:19" s="1" customFormat="1" ht="13" customHeight="1">
      <c r="A34" s="30"/>
      <c r="B34" s="420" t="str">
        <f>Eingabe!C3</f>
        <v>Instandsetzung Kappe</v>
      </c>
      <c r="C34" s="531"/>
      <c r="D34" s="402"/>
      <c r="E34" s="31"/>
      <c r="F34" s="402"/>
      <c r="G34" s="30"/>
      <c r="H34" s="402"/>
      <c r="I34" s="402"/>
      <c r="J34" s="31"/>
      <c r="K34" s="402"/>
      <c r="L34" s="402"/>
      <c r="M34" s="531"/>
      <c r="N34" s="531"/>
      <c r="O34" s="531"/>
      <c r="P34" s="531"/>
      <c r="Q34" s="531"/>
      <c r="R34" s="531"/>
      <c r="S34" s="531"/>
    </row>
    <row r="35" spans="1:19" s="1" customFormat="1" ht="15.45" customHeight="1">
      <c r="A35" s="1097" t="s">
        <v>578</v>
      </c>
      <c r="B35" s="1065"/>
      <c r="C35" s="1065"/>
      <c r="D35" s="1065"/>
      <c r="E35" s="1066"/>
      <c r="F35" s="402"/>
      <c r="G35" s="30"/>
      <c r="H35" s="402"/>
      <c r="I35" s="402"/>
      <c r="J35" s="31"/>
      <c r="K35" s="402"/>
      <c r="L35" s="402"/>
      <c r="M35" s="531"/>
      <c r="N35" s="531"/>
      <c r="O35" s="531"/>
      <c r="P35" s="531"/>
      <c r="Q35" s="531"/>
      <c r="R35" s="531"/>
      <c r="S35" s="531"/>
    </row>
    <row r="36" spans="1:19" s="1" customFormat="1" ht="13" customHeight="1">
      <c r="A36" s="403"/>
      <c r="B36" s="635"/>
      <c r="C36" s="1093"/>
      <c r="D36" s="1093"/>
      <c r="E36" s="1094"/>
      <c r="F36" s="402"/>
      <c r="G36" s="30"/>
      <c r="H36" s="402"/>
      <c r="I36" s="402"/>
      <c r="J36" s="31"/>
      <c r="K36" s="402"/>
      <c r="L36" s="402"/>
      <c r="M36" s="531"/>
      <c r="N36" s="531"/>
      <c r="O36" s="531"/>
      <c r="P36" s="531"/>
      <c r="Q36" s="531"/>
      <c r="R36" s="531"/>
      <c r="S36" s="531"/>
    </row>
    <row r="37" spans="1:19" s="1" customFormat="1" ht="13" customHeight="1">
      <c r="A37" s="30"/>
      <c r="B37" s="599" t="s">
        <v>25</v>
      </c>
      <c r="C37" s="597"/>
      <c r="D37" s="494" t="str">
        <f>Eingabe!C6</f>
        <v>C 35/45; gerissen</v>
      </c>
      <c r="E37" s="598"/>
      <c r="F37" s="402"/>
      <c r="G37" s="30"/>
      <c r="H37" s="402"/>
      <c r="I37" s="402"/>
      <c r="J37" s="31"/>
      <c r="K37" s="402"/>
      <c r="L37" s="402"/>
      <c r="M37" s="531"/>
      <c r="N37" s="531"/>
      <c r="O37" s="531"/>
      <c r="P37" s="531"/>
      <c r="Q37" s="531"/>
      <c r="R37" s="531"/>
      <c r="S37" s="531"/>
    </row>
    <row r="38" spans="1:19" s="1" customFormat="1" ht="13" customHeight="1">
      <c r="A38" s="30"/>
      <c r="B38" s="599" t="s">
        <v>31</v>
      </c>
      <c r="C38" s="600"/>
      <c r="D38" s="587">
        <f>Eingabe!C7</f>
        <v>1200</v>
      </c>
      <c r="E38" s="588" t="s">
        <v>0</v>
      </c>
      <c r="F38" s="402"/>
      <c r="G38" s="30"/>
      <c r="H38" s="402"/>
      <c r="I38" s="402"/>
      <c r="J38" s="31"/>
      <c r="K38" s="402"/>
      <c r="L38" s="402"/>
      <c r="M38" s="531"/>
      <c r="N38" s="531"/>
      <c r="O38" s="531"/>
      <c r="P38" s="531"/>
      <c r="Q38" s="531"/>
      <c r="R38" s="531"/>
      <c r="S38" s="531"/>
    </row>
    <row r="39" spans="1:19" s="1" customFormat="1" ht="13" customHeight="1">
      <c r="A39" s="30"/>
      <c r="B39" s="217" t="s">
        <v>33</v>
      </c>
      <c r="C39" s="60"/>
      <c r="D39" s="587">
        <f>Eingabe!C9</f>
        <v>10</v>
      </c>
      <c r="E39" s="588" t="s">
        <v>0</v>
      </c>
      <c r="F39" s="402"/>
      <c r="G39" s="30"/>
      <c r="H39" s="402"/>
      <c r="I39" s="402"/>
      <c r="J39" s="31"/>
      <c r="K39" s="402"/>
      <c r="L39" s="402"/>
      <c r="M39" s="531"/>
      <c r="N39" s="531"/>
      <c r="O39" s="531"/>
      <c r="P39" s="531"/>
      <c r="Q39" s="531"/>
      <c r="R39" s="531"/>
      <c r="S39" s="531"/>
    </row>
    <row r="40" spans="1:19" s="1" customFormat="1" ht="13" customHeight="1">
      <c r="A40" s="30"/>
      <c r="B40" s="1070" t="s">
        <v>610</v>
      </c>
      <c r="C40" s="1071"/>
      <c r="D40" s="631">
        <f>Eingabe!J28</f>
        <v>500</v>
      </c>
      <c r="E40" s="588" t="s">
        <v>0</v>
      </c>
      <c r="F40" s="402"/>
      <c r="G40" s="30"/>
      <c r="H40" s="402"/>
      <c r="I40" s="402"/>
      <c r="J40" s="31"/>
      <c r="K40" s="402"/>
      <c r="L40" s="402"/>
      <c r="M40" s="531"/>
      <c r="N40" s="531"/>
      <c r="O40" s="531"/>
      <c r="P40" s="531"/>
      <c r="Q40" s="531"/>
      <c r="R40" s="531"/>
      <c r="S40" s="531"/>
    </row>
    <row r="41" spans="1:19" s="1" customFormat="1" ht="13" customHeight="1">
      <c r="A41" s="30"/>
      <c r="B41" s="1070" t="s">
        <v>604</v>
      </c>
      <c r="C41" s="1071"/>
      <c r="D41" s="631">
        <f>Eingabe!J32</f>
        <v>550</v>
      </c>
      <c r="E41" s="632" t="s">
        <v>0</v>
      </c>
      <c r="F41" s="402"/>
      <c r="G41" s="30"/>
      <c r="H41" s="402"/>
      <c r="I41" s="402"/>
      <c r="J41" s="31"/>
      <c r="K41" s="402"/>
      <c r="L41" s="402"/>
      <c r="M41" s="531"/>
      <c r="N41" s="531"/>
      <c r="O41" s="531"/>
      <c r="P41" s="531"/>
      <c r="Q41" s="531"/>
      <c r="R41" s="531"/>
      <c r="S41" s="531"/>
    </row>
    <row r="42" spans="1:19" s="1" customFormat="1" ht="13" customHeight="1">
      <c r="A42" s="30"/>
      <c r="B42" s="217" t="s">
        <v>564</v>
      </c>
      <c r="C42" s="60"/>
      <c r="D42" s="218">
        <f>Eingabe!C8</f>
        <v>200</v>
      </c>
      <c r="E42" s="588" t="s">
        <v>0</v>
      </c>
      <c r="F42" s="402"/>
      <c r="G42" s="30"/>
      <c r="H42" s="402"/>
      <c r="I42" s="402"/>
      <c r="J42" s="31"/>
      <c r="K42" s="402"/>
      <c r="L42" s="402"/>
      <c r="M42" s="531"/>
      <c r="N42" s="531"/>
      <c r="O42" s="531"/>
      <c r="P42" s="531"/>
      <c r="Q42" s="531"/>
      <c r="R42" s="531"/>
      <c r="S42" s="531"/>
    </row>
    <row r="43" spans="1:19" s="1" customFormat="1" ht="13" customHeight="1">
      <c r="A43" s="30"/>
      <c r="B43" s="217" t="s">
        <v>207</v>
      </c>
      <c r="C43" s="60"/>
      <c r="D43" s="634">
        <f>IF(Eingabe!AD32=1,Eingabe!C10,Eingabe!V79)</f>
        <v>140</v>
      </c>
      <c r="E43" s="632" t="s">
        <v>0</v>
      </c>
      <c r="F43" s="402"/>
      <c r="G43" s="30"/>
      <c r="H43" s="402"/>
      <c r="I43" s="402"/>
      <c r="J43" s="31"/>
      <c r="K43" s="402"/>
      <c r="L43" s="402"/>
      <c r="M43" s="531"/>
      <c r="N43" s="531"/>
      <c r="O43" s="531"/>
      <c r="P43" s="531"/>
      <c r="Q43" s="531"/>
      <c r="R43" s="531"/>
      <c r="S43" s="531"/>
    </row>
    <row r="44" spans="1:19" s="604" customFormat="1" ht="13" customHeight="1">
      <c r="A44" s="30"/>
      <c r="B44" s="217" t="s">
        <v>611</v>
      </c>
      <c r="C44" s="60"/>
      <c r="D44" s="634">
        <f>Eingabe!W37</f>
        <v>28</v>
      </c>
      <c r="E44" s="632" t="s">
        <v>0</v>
      </c>
      <c r="F44" s="402"/>
      <c r="G44" s="30"/>
      <c r="H44" s="402"/>
      <c r="I44" s="402"/>
      <c r="J44" s="31"/>
      <c r="K44" s="402"/>
      <c r="L44" s="402"/>
    </row>
    <row r="45" spans="1:19" s="1" customFormat="1" ht="23.5" customHeight="1">
      <c r="A45" s="1046" t="s">
        <v>612</v>
      </c>
      <c r="B45" s="1047"/>
      <c r="C45" s="1047"/>
      <c r="D45" s="1047"/>
      <c r="E45" s="1048"/>
      <c r="F45" s="402"/>
      <c r="G45" s="30"/>
      <c r="H45" s="402"/>
      <c r="I45" s="402"/>
      <c r="J45" s="31"/>
      <c r="K45" s="402"/>
      <c r="L45" s="402"/>
      <c r="M45" s="531"/>
      <c r="N45" s="531"/>
      <c r="O45" s="531"/>
      <c r="P45" s="531"/>
      <c r="Q45" s="531"/>
      <c r="R45" s="531"/>
      <c r="S45" s="531"/>
    </row>
    <row r="46" spans="1:19" s="1" customFormat="1" ht="15.55">
      <c r="A46" s="1052" t="s">
        <v>117</v>
      </c>
      <c r="B46" s="1053"/>
      <c r="C46" s="1053"/>
      <c r="D46" s="1053"/>
      <c r="E46" s="1054"/>
      <c r="F46" s="29"/>
      <c r="G46" s="30"/>
      <c r="H46" s="402"/>
      <c r="I46" s="402"/>
      <c r="J46" s="31"/>
      <c r="K46" s="402"/>
      <c r="L46" s="402"/>
      <c r="M46" s="531"/>
      <c r="N46" s="531"/>
      <c r="O46" s="531"/>
      <c r="P46" s="531"/>
      <c r="Q46" s="531"/>
      <c r="R46" s="531"/>
      <c r="S46" s="531"/>
    </row>
    <row r="47" spans="1:19" s="1" customFormat="1" ht="14.15" customHeight="1">
      <c r="A47" s="403"/>
      <c r="B47" s="416"/>
      <c r="C47" s="416"/>
      <c r="D47" s="416"/>
      <c r="E47" s="417"/>
      <c r="F47" s="402"/>
      <c r="G47" s="30"/>
      <c r="H47" s="402"/>
      <c r="I47" s="402"/>
      <c r="J47" s="31"/>
      <c r="K47" s="402"/>
      <c r="L47" s="402"/>
      <c r="M47" s="531"/>
      <c r="N47" s="531"/>
      <c r="O47" s="531"/>
      <c r="P47" s="531"/>
      <c r="Q47" s="531"/>
      <c r="R47" s="531"/>
      <c r="S47" s="531"/>
    </row>
    <row r="48" spans="1:19" s="1" customFormat="1" ht="13" customHeight="1">
      <c r="A48" s="33"/>
      <c r="B48" s="652" t="s">
        <v>25</v>
      </c>
      <c r="C48" s="653"/>
      <c r="D48" s="663" t="str">
        <f>Eingabe!C13</f>
        <v>C 25/30 (LP); gerissen</v>
      </c>
      <c r="E48" s="588"/>
      <c r="F48" s="402"/>
      <c r="G48" s="33"/>
      <c r="H48" s="29"/>
      <c r="I48" s="29"/>
      <c r="J48" s="34"/>
      <c r="K48" s="29"/>
      <c r="L48" s="402"/>
      <c r="M48" s="531"/>
      <c r="N48" s="531"/>
      <c r="O48" s="531"/>
      <c r="P48" s="531"/>
      <c r="Q48" s="531"/>
      <c r="R48" s="531"/>
      <c r="S48" s="531"/>
    </row>
    <row r="49" spans="1:23" s="1" customFormat="1" ht="13" customHeight="1">
      <c r="A49" s="30"/>
      <c r="B49" s="17" t="s">
        <v>1145</v>
      </c>
      <c r="C49" s="597"/>
      <c r="D49" s="1049" t="str">
        <f>Eingabe!C14&amp;"     [kg/m3]"</f>
        <v>1600     [kg/m3]</v>
      </c>
      <c r="E49" s="1050"/>
      <c r="F49" s="402"/>
      <c r="G49" s="30"/>
      <c r="H49" s="402"/>
      <c r="I49" s="402"/>
      <c r="J49" s="31"/>
      <c r="K49" s="402"/>
      <c r="L49" s="402"/>
      <c r="M49" s="531"/>
      <c r="N49" s="531"/>
      <c r="O49" s="402"/>
      <c r="P49" s="402"/>
      <c r="Q49" s="402"/>
      <c r="R49" s="402"/>
      <c r="S49" s="402"/>
      <c r="T49" s="344"/>
      <c r="U49" s="344"/>
      <c r="V49" s="344"/>
      <c r="W49" s="344"/>
    </row>
    <row r="50" spans="1:23" s="1" customFormat="1" ht="13" customHeight="1">
      <c r="A50" s="30"/>
      <c r="B50" s="269" t="s">
        <v>206</v>
      </c>
      <c r="C50" s="402"/>
      <c r="D50" s="587" t="str">
        <f>LEFT(Eingabe!C12,FIND("m",Eingabe!C12)-1)</f>
        <v xml:space="preserve">≤ 1,70 </v>
      </c>
      <c r="E50" s="654" t="s">
        <v>551</v>
      </c>
      <c r="F50" s="402"/>
      <c r="G50" s="30"/>
      <c r="H50" s="402"/>
      <c r="I50" s="402"/>
      <c r="J50" s="31"/>
      <c r="K50" s="402"/>
      <c r="L50" s="402"/>
      <c r="M50" s="531"/>
      <c r="N50" s="531"/>
      <c r="O50" s="402"/>
      <c r="P50" s="402"/>
      <c r="Q50" s="402"/>
      <c r="R50" s="402"/>
      <c r="S50" s="402"/>
      <c r="T50" s="344"/>
      <c r="U50" s="344"/>
      <c r="V50" s="344"/>
      <c r="W50" s="344"/>
    </row>
    <row r="51" spans="1:23" s="1" customFormat="1" ht="13" customHeight="1">
      <c r="A51" s="30"/>
      <c r="B51" s="1072" t="s">
        <v>126</v>
      </c>
      <c r="C51" s="1073"/>
      <c r="D51" s="587">
        <f>Eingabe!C16</f>
        <v>300</v>
      </c>
      <c r="E51" s="588" t="s">
        <v>0</v>
      </c>
      <c r="F51" s="402"/>
      <c r="G51" s="30"/>
      <c r="H51" s="402"/>
      <c r="I51" s="402"/>
      <c r="J51" s="31"/>
      <c r="K51" s="402"/>
      <c r="L51" s="402"/>
      <c r="M51" s="531"/>
      <c r="N51" s="531"/>
      <c r="O51" s="402"/>
      <c r="P51" s="402"/>
      <c r="Q51" s="402"/>
      <c r="R51" s="402"/>
      <c r="S51" s="402"/>
      <c r="T51" s="344"/>
      <c r="U51" s="344"/>
      <c r="V51" s="344"/>
      <c r="W51" s="344"/>
    </row>
    <row r="52" spans="1:23" s="1" customFormat="1" ht="13" customHeight="1">
      <c r="A52" s="30"/>
      <c r="B52" s="652" t="s">
        <v>408</v>
      </c>
      <c r="C52" s="597"/>
      <c r="D52" s="663" t="str">
        <f>Eingabe!C15</f>
        <v>Sechskantmutter M24</v>
      </c>
      <c r="E52" s="31"/>
      <c r="F52" s="402"/>
      <c r="G52" s="30"/>
      <c r="H52" s="402"/>
      <c r="I52" s="402"/>
      <c r="J52" s="31"/>
      <c r="K52" s="402"/>
      <c r="L52" s="402"/>
      <c r="M52" s="531"/>
      <c r="N52" s="531"/>
      <c r="O52" s="402"/>
      <c r="P52" s="402"/>
      <c r="Q52" s="402"/>
      <c r="R52" s="402"/>
      <c r="S52" s="402"/>
      <c r="T52" s="344"/>
      <c r="U52" s="344"/>
      <c r="V52" s="344"/>
      <c r="W52" s="344"/>
    </row>
    <row r="53" spans="1:23" s="1" customFormat="1" ht="13" customHeight="1">
      <c r="A53" s="30"/>
      <c r="B53" s="652" t="s">
        <v>607</v>
      </c>
      <c r="C53" s="402"/>
      <c r="D53" s="586">
        <f>IF(Eingabe!C19=0,"0",Eingabe!C19)</f>
        <v>50</v>
      </c>
      <c r="E53" s="588" t="s">
        <v>0</v>
      </c>
      <c r="F53" s="402"/>
      <c r="G53" s="30"/>
      <c r="H53" s="402"/>
      <c r="I53" s="402"/>
      <c r="J53" s="31"/>
      <c r="K53" s="402"/>
      <c r="L53" s="402"/>
      <c r="M53" s="531"/>
      <c r="N53" s="531"/>
      <c r="O53" s="402"/>
      <c r="P53" s="402"/>
      <c r="Q53" s="402"/>
      <c r="R53" s="402"/>
      <c r="S53" s="402"/>
      <c r="T53" s="344"/>
      <c r="U53" s="344"/>
      <c r="V53" s="344"/>
      <c r="W53" s="344"/>
    </row>
    <row r="54" spans="1:23" s="1" customFormat="1" ht="13" customHeight="1">
      <c r="A54" s="30"/>
      <c r="B54" s="1072" t="s">
        <v>139</v>
      </c>
      <c r="C54" s="1073"/>
      <c r="D54" s="587">
        <f>Eingabe!C18</f>
        <v>145</v>
      </c>
      <c r="E54" s="588" t="s">
        <v>0</v>
      </c>
      <c r="F54" s="402"/>
      <c r="G54" s="1074"/>
      <c r="H54" s="1075"/>
      <c r="I54" s="1075"/>
      <c r="J54" s="1076"/>
      <c r="K54" s="490"/>
      <c r="L54" s="402"/>
      <c r="M54" s="531"/>
      <c r="N54" s="531"/>
      <c r="O54" s="531"/>
      <c r="P54" s="531"/>
      <c r="Q54" s="531"/>
      <c r="R54" s="531"/>
      <c r="S54" s="531"/>
    </row>
    <row r="55" spans="1:23" s="1" customFormat="1" ht="14.15" customHeight="1">
      <c r="A55" s="30"/>
      <c r="B55" s="217" t="s">
        <v>411</v>
      </c>
      <c r="C55" s="408"/>
      <c r="D55" s="587">
        <f>Eingabe!C21</f>
        <v>76</v>
      </c>
      <c r="E55" s="588" t="s">
        <v>0</v>
      </c>
      <c r="F55" s="402"/>
      <c r="G55" s="30"/>
      <c r="H55" s="402"/>
      <c r="I55" s="402"/>
      <c r="J55" s="31"/>
      <c r="K55" s="402"/>
      <c r="L55" s="402"/>
      <c r="M55" s="531"/>
      <c r="N55" s="531"/>
      <c r="O55" s="531"/>
      <c r="P55" s="531"/>
      <c r="Q55" s="531"/>
      <c r="R55" s="531"/>
      <c r="S55" s="531"/>
    </row>
    <row r="56" spans="1:23" s="1" customFormat="1" ht="23.65" customHeight="1">
      <c r="A56" s="5"/>
      <c r="B56" s="661" t="s">
        <v>605</v>
      </c>
      <c r="C56" s="32"/>
      <c r="D56" s="662">
        <f>SUM(Eingabe!C20,Eingabe!C21)</f>
        <v>95</v>
      </c>
      <c r="E56" s="480" t="s">
        <v>0</v>
      </c>
      <c r="F56" s="402"/>
      <c r="G56" s="1087" t="str">
        <f>Eingabe!T79</f>
        <v>projektspez. HCC-Art.-Set: HIT-C-R M24x243</v>
      </c>
      <c r="H56" s="1088"/>
      <c r="I56" s="1088"/>
      <c r="J56" s="1089"/>
      <c r="K56" s="486"/>
      <c r="L56" s="402"/>
      <c r="M56" s="531"/>
      <c r="N56" s="531"/>
      <c r="O56" s="531"/>
      <c r="P56" s="531"/>
      <c r="Q56" s="531"/>
      <c r="R56" s="531"/>
      <c r="S56" s="531"/>
    </row>
    <row r="57" spans="1:23" s="1" customFormat="1" ht="15.55">
      <c r="A57" s="1079" t="s">
        <v>546</v>
      </c>
      <c r="B57" s="1080"/>
      <c r="C57" s="1080"/>
      <c r="D57" s="1080"/>
      <c r="E57" s="1081"/>
      <c r="F57" s="402"/>
      <c r="G57" s="1040" t="s">
        <v>596</v>
      </c>
      <c r="H57" s="1041"/>
      <c r="I57" s="1041"/>
      <c r="J57" s="1042"/>
      <c r="K57" s="491"/>
      <c r="L57" s="402"/>
      <c r="M57" s="531"/>
      <c r="N57" s="531"/>
      <c r="O57" s="531"/>
      <c r="P57" s="531"/>
      <c r="Q57" s="531"/>
      <c r="R57" s="531"/>
      <c r="S57" s="531"/>
    </row>
    <row r="58" spans="1:23" s="1" customFormat="1" ht="19.149999999999999" customHeight="1">
      <c r="A58" s="30"/>
      <c r="B58" s="402" t="str">
        <f>LEFT(Eingabe!F4,FIND(",",Eingabe!F4)-1)</f>
        <v>Bitumen-Schweißbahn einlagig + Schutzlage</v>
      </c>
      <c r="C58" s="402"/>
      <c r="D58" s="402"/>
      <c r="E58" s="31"/>
      <c r="F58" s="402"/>
      <c r="G58" s="1077" t="str">
        <f>IF(Eingabe!M79=Eingabe!Y56,Eingabe!S55&amp;Eingabe!C15&amp;Eingabe!S56,"Falsche Dimension Kopfbolzen")</f>
        <v xml:space="preserve">und Sechskantmutter M24 </v>
      </c>
      <c r="H58" s="1034"/>
      <c r="I58" s="1034"/>
      <c r="J58" s="1078"/>
      <c r="K58" s="402"/>
      <c r="L58" s="402"/>
      <c r="M58" s="531"/>
      <c r="N58" s="531"/>
      <c r="O58" s="531"/>
      <c r="P58" s="531"/>
      <c r="Q58" s="531"/>
      <c r="R58" s="531"/>
      <c r="S58" s="531"/>
    </row>
    <row r="59" spans="1:23" s="475" customFormat="1" ht="13" customHeight="1">
      <c r="A59" s="5"/>
      <c r="B59" s="479" t="s">
        <v>606</v>
      </c>
      <c r="C59" s="32"/>
      <c r="D59" s="478">
        <f>IF(Eingabe!O105=0,"0",Eingabe!O105)</f>
        <v>8</v>
      </c>
      <c r="E59" s="482" t="s">
        <v>0</v>
      </c>
      <c r="F59" s="402"/>
      <c r="G59" s="1043" t="s">
        <v>582</v>
      </c>
      <c r="H59" s="1044"/>
      <c r="I59" s="1044"/>
      <c r="J59" s="1045"/>
      <c r="K59" s="402"/>
      <c r="L59" s="402"/>
      <c r="M59" s="531"/>
      <c r="N59" s="531"/>
      <c r="O59" s="531"/>
      <c r="P59" s="531"/>
      <c r="Q59" s="531"/>
      <c r="R59" s="531"/>
      <c r="S59" s="531"/>
    </row>
    <row r="60" spans="1:23" s="467" customFormat="1" ht="25.5" customHeight="1">
      <c r="A60" s="402"/>
      <c r="B60" s="521" t="str">
        <f>Eingabe!B2</f>
        <v xml:space="preserve">HILTI Design-Tool Kappenverankerung 8.3            </v>
      </c>
      <c r="C60" s="402"/>
      <c r="D60" s="402"/>
      <c r="E60" s="402"/>
      <c r="F60" s="402"/>
      <c r="G60" s="1034" t="str">
        <f>Eingabe!I2</f>
        <v>Version gültig bis 30.04.2021</v>
      </c>
      <c r="H60" s="1034"/>
      <c r="I60" s="1034"/>
      <c r="J60" s="1034"/>
      <c r="K60" s="402"/>
      <c r="L60" s="402"/>
      <c r="M60" s="531"/>
      <c r="N60" s="531"/>
      <c r="O60" s="531"/>
      <c r="P60" s="531"/>
      <c r="Q60" s="531"/>
      <c r="R60" s="531"/>
      <c r="S60" s="531"/>
    </row>
    <row r="61" spans="1:23" s="1" customFormat="1" ht="15.55">
      <c r="A61" s="1035" t="s">
        <v>145</v>
      </c>
      <c r="B61" s="1035"/>
      <c r="C61" s="1035"/>
      <c r="D61" s="1035"/>
      <c r="E61" s="1035"/>
      <c r="F61" s="1035"/>
      <c r="G61" s="1035"/>
      <c r="H61" s="1035"/>
      <c r="I61" s="1035"/>
      <c r="J61" s="1035"/>
      <c r="K61" s="500"/>
      <c r="L61" s="518"/>
      <c r="M61" s="531"/>
      <c r="N61" s="531"/>
      <c r="O61" s="531"/>
      <c r="P61" s="531"/>
      <c r="Q61" s="531"/>
      <c r="R61" s="531"/>
      <c r="S61" s="531"/>
    </row>
    <row r="62" spans="1:23" s="1" customFormat="1" ht="5.9" customHeight="1">
      <c r="A62" s="402"/>
      <c r="B62" s="402"/>
      <c r="C62" s="402"/>
      <c r="D62" s="402"/>
      <c r="E62" s="402"/>
      <c r="F62" s="402"/>
      <c r="G62" s="402"/>
      <c r="H62" s="402"/>
      <c r="I62" s="402"/>
      <c r="J62" s="402"/>
      <c r="K62" s="402"/>
      <c r="L62" s="402"/>
      <c r="M62" s="531"/>
      <c r="N62" s="531"/>
      <c r="O62" s="531"/>
      <c r="P62" s="531"/>
      <c r="Q62" s="531"/>
      <c r="R62" s="531"/>
      <c r="S62" s="531"/>
    </row>
    <row r="63" spans="1:23" s="1" customFormat="1" ht="16" customHeight="1">
      <c r="A63" s="402"/>
      <c r="B63" s="1083" t="s">
        <v>438</v>
      </c>
      <c r="C63" s="1084"/>
      <c r="D63" s="1084"/>
      <c r="E63" s="1084"/>
      <c r="F63" s="1084"/>
      <c r="G63" s="1084"/>
      <c r="H63" s="1084"/>
      <c r="I63" s="1084"/>
      <c r="J63" s="1084"/>
      <c r="K63" s="402"/>
      <c r="L63" s="402"/>
      <c r="M63" s="531"/>
      <c r="N63" s="531"/>
      <c r="O63" s="531"/>
      <c r="P63" s="531"/>
      <c r="Q63" s="531"/>
      <c r="R63" s="531"/>
      <c r="S63" s="531"/>
    </row>
    <row r="64" spans="1:23" s="1" customFormat="1" ht="13" customHeight="1">
      <c r="A64" s="402"/>
      <c r="B64" s="27" t="str">
        <f>Eingabe!C24</f>
        <v>Anprall Fahrzeugrückhaltesystem</v>
      </c>
      <c r="C64" s="27"/>
      <c r="D64" s="27"/>
      <c r="E64" s="27"/>
      <c r="F64" s="27"/>
      <c r="G64" s="411"/>
      <c r="H64" s="27"/>
      <c r="I64" s="525"/>
      <c r="J64" s="402"/>
      <c r="K64" s="402"/>
      <c r="L64" s="402"/>
      <c r="M64" s="531"/>
      <c r="N64" s="531"/>
      <c r="O64" s="531"/>
      <c r="P64" s="531"/>
      <c r="Q64" s="531"/>
      <c r="R64" s="531"/>
      <c r="S64" s="531"/>
    </row>
    <row r="65" spans="1:19" s="1" customFormat="1" ht="13" customHeight="1">
      <c r="A65" s="402"/>
      <c r="B65" s="17" t="s">
        <v>289</v>
      </c>
      <c r="C65" s="402"/>
      <c r="D65" s="402"/>
      <c r="E65" s="402"/>
      <c r="F65" s="402"/>
      <c r="G65" s="164">
        <f>IF(Eingabe!C25=0,"0,0",Eingabe!C25)</f>
        <v>16.399999999999999</v>
      </c>
      <c r="H65" s="402" t="s">
        <v>101</v>
      </c>
      <c r="I65" s="525"/>
      <c r="J65" s="402"/>
      <c r="K65" s="402"/>
      <c r="L65" s="402"/>
      <c r="M65" s="531"/>
      <c r="N65" s="531"/>
      <c r="O65" s="531"/>
      <c r="P65" s="531"/>
      <c r="Q65" s="531"/>
      <c r="R65" s="531"/>
      <c r="S65" s="531"/>
    </row>
    <row r="66" spans="1:19" s="1" customFormat="1" ht="18" customHeight="1">
      <c r="A66" s="402"/>
      <c r="B66" s="407" t="s">
        <v>439</v>
      </c>
      <c r="C66" s="408"/>
      <c r="D66" s="408"/>
      <c r="E66" s="408"/>
      <c r="F66" s="408"/>
      <c r="G66" s="409">
        <f>Eingabe!C26</f>
        <v>90.6</v>
      </c>
      <c r="H66" s="408" t="s">
        <v>98</v>
      </c>
      <c r="I66" s="525"/>
      <c r="J66" s="402"/>
      <c r="K66" s="402"/>
      <c r="L66" s="531"/>
      <c r="M66" s="531"/>
      <c r="N66" s="531"/>
      <c r="O66" s="531"/>
      <c r="P66" s="531"/>
      <c r="Q66" s="531"/>
      <c r="R66" s="531"/>
      <c r="S66" s="531"/>
    </row>
    <row r="67" spans="1:19" s="1" customFormat="1" ht="70.7" customHeight="1">
      <c r="A67" s="402"/>
      <c r="B67" s="1069" t="s">
        <v>553</v>
      </c>
      <c r="C67" s="1069"/>
      <c r="D67" s="1069"/>
      <c r="E67" s="1069"/>
      <c r="F67" s="1069"/>
      <c r="G67" s="1069"/>
      <c r="H67" s="1069"/>
      <c r="I67" s="1069"/>
      <c r="J67" s="1069"/>
      <c r="K67" s="402"/>
      <c r="L67" s="531"/>
      <c r="M67" s="531"/>
      <c r="N67" s="531"/>
      <c r="O67" s="531"/>
      <c r="P67" s="531"/>
      <c r="Q67" s="531"/>
      <c r="R67" s="531"/>
      <c r="S67" s="531"/>
    </row>
    <row r="68" spans="1:19" s="1" customFormat="1" ht="13" customHeight="1">
      <c r="A68" s="402"/>
      <c r="B68" s="69" t="s">
        <v>297</v>
      </c>
      <c r="C68" s="402"/>
      <c r="D68" s="402"/>
      <c r="E68" s="402"/>
      <c r="F68" s="402"/>
      <c r="G68" s="270">
        <f>IF(Eingabe!C29&gt;0,Eingabe!C29,"0,0")</f>
        <v>12</v>
      </c>
      <c r="H68" s="217" t="s">
        <v>287</v>
      </c>
      <c r="I68" s="525"/>
      <c r="J68" s="402"/>
      <c r="K68" s="402"/>
      <c r="L68" s="531"/>
      <c r="M68" s="531"/>
      <c r="N68" s="531"/>
      <c r="O68" s="531"/>
      <c r="P68" s="531"/>
      <c r="Q68" s="531"/>
      <c r="R68" s="531"/>
      <c r="S68" s="531"/>
    </row>
    <row r="69" spans="1:19" s="1" customFormat="1" ht="13" customHeight="1">
      <c r="A69" s="402"/>
      <c r="B69" s="217" t="s">
        <v>298</v>
      </c>
      <c r="C69" s="60"/>
      <c r="D69" s="218"/>
      <c r="E69" s="60"/>
      <c r="F69" s="60"/>
      <c r="G69" s="164">
        <f>IF(Eingabe!C30&gt;0,Eingabe!C30,"0,0")</f>
        <v>12</v>
      </c>
      <c r="H69" s="217" t="s">
        <v>287</v>
      </c>
      <c r="I69" s="525"/>
      <c r="J69" s="402"/>
      <c r="K69" s="402"/>
      <c r="L69" s="531"/>
      <c r="M69" s="531"/>
      <c r="N69" s="531"/>
      <c r="O69" s="531"/>
      <c r="P69" s="531"/>
      <c r="Q69" s="531"/>
      <c r="R69" s="531"/>
      <c r="S69" s="531"/>
    </row>
    <row r="70" spans="1:19" s="1" customFormat="1" ht="13" customHeight="1">
      <c r="A70" s="402"/>
      <c r="B70" s="402"/>
      <c r="C70" s="402"/>
      <c r="D70" s="402"/>
      <c r="E70" s="402"/>
      <c r="F70" s="402"/>
      <c r="G70" s="402"/>
      <c r="H70" s="402"/>
      <c r="I70" s="402"/>
      <c r="J70" s="402"/>
      <c r="K70" s="402"/>
      <c r="L70" s="531"/>
      <c r="M70" s="531"/>
      <c r="N70" s="531"/>
      <c r="O70" s="531"/>
      <c r="P70" s="531"/>
      <c r="Q70" s="531"/>
      <c r="R70" s="531"/>
      <c r="S70" s="531"/>
    </row>
    <row r="71" spans="1:19" s="488" customFormat="1" ht="15.45" customHeight="1">
      <c r="A71" s="928" t="s">
        <v>556</v>
      </c>
      <c r="B71" s="928"/>
      <c r="C71" s="928"/>
      <c r="D71" s="928"/>
      <c r="E71" s="928"/>
      <c r="F71" s="928"/>
      <c r="G71" s="928"/>
      <c r="H71" s="928"/>
      <c r="I71" s="928"/>
      <c r="J71" s="928"/>
      <c r="K71" s="402"/>
      <c r="L71" s="531"/>
      <c r="M71" s="531"/>
      <c r="N71" s="531"/>
      <c r="O71" s="531"/>
      <c r="P71" s="531"/>
      <c r="Q71" s="531"/>
      <c r="R71" s="531"/>
      <c r="S71" s="531"/>
    </row>
    <row r="72" spans="1:19" s="488" customFormat="1" ht="5.5" customHeight="1">
      <c r="A72" s="402"/>
      <c r="B72" s="402"/>
      <c r="C72" s="402"/>
      <c r="D72" s="402"/>
      <c r="E72" s="402"/>
      <c r="F72" s="402"/>
      <c r="G72" s="402"/>
      <c r="H72" s="402"/>
      <c r="I72" s="402"/>
      <c r="J72" s="402"/>
      <c r="K72" s="402"/>
      <c r="L72" s="531"/>
      <c r="M72" s="531"/>
      <c r="N72" s="531"/>
      <c r="O72" s="531"/>
      <c r="P72" s="531"/>
      <c r="Q72" s="531"/>
      <c r="R72" s="531"/>
      <c r="S72" s="531"/>
    </row>
    <row r="73" spans="1:19" s="1" customFormat="1" ht="13" customHeight="1">
      <c r="A73" s="402"/>
      <c r="B73" s="1086" t="s">
        <v>273</v>
      </c>
      <c r="C73" s="1086"/>
      <c r="D73" s="1086"/>
      <c r="E73" s="530"/>
      <c r="F73" s="530"/>
      <c r="G73" s="530"/>
      <c r="H73" s="530"/>
      <c r="I73" s="402"/>
      <c r="J73" s="402"/>
      <c r="K73" s="402"/>
      <c r="L73" s="531"/>
      <c r="M73" s="531"/>
      <c r="N73" s="531"/>
      <c r="O73" s="531"/>
      <c r="P73" s="531"/>
      <c r="Q73" s="531"/>
      <c r="R73" s="531"/>
      <c r="S73" s="531"/>
    </row>
    <row r="74" spans="1:19" s="1" customFormat="1" ht="13" customHeight="1">
      <c r="A74" s="402"/>
      <c r="B74" s="402"/>
      <c r="C74" s="519" t="s">
        <v>30</v>
      </c>
      <c r="D74" s="519" t="s">
        <v>117</v>
      </c>
      <c r="E74" s="27"/>
      <c r="F74" s="27"/>
      <c r="G74" s="519"/>
      <c r="H74" s="519"/>
      <c r="I74" s="402"/>
      <c r="J74" s="402"/>
      <c r="K74" s="402"/>
      <c r="L74" s="531"/>
      <c r="M74" s="531"/>
      <c r="N74" s="531"/>
      <c r="O74" s="531"/>
      <c r="P74" s="531"/>
      <c r="Q74" s="531"/>
      <c r="R74" s="531"/>
      <c r="S74" s="531"/>
    </row>
    <row r="75" spans="1:19" s="1" customFormat="1" ht="13" customHeight="1">
      <c r="A75" s="402"/>
      <c r="B75" s="531"/>
      <c r="C75" s="1032" t="s">
        <v>290</v>
      </c>
      <c r="D75" s="1032"/>
      <c r="E75" s="520"/>
      <c r="F75" s="402"/>
      <c r="G75" s="1032"/>
      <c r="H75" s="1032"/>
      <c r="I75" s="520"/>
      <c r="J75" s="520"/>
      <c r="K75" s="402"/>
      <c r="L75" s="531"/>
      <c r="M75" s="531"/>
      <c r="N75" s="531"/>
      <c r="O75" s="531"/>
      <c r="P75" s="531"/>
      <c r="Q75" s="531"/>
      <c r="R75" s="531"/>
      <c r="S75" s="531"/>
    </row>
    <row r="76" spans="1:19" s="1" customFormat="1" ht="13" customHeight="1">
      <c r="A76" s="402"/>
      <c r="B76" s="402" t="s">
        <v>74</v>
      </c>
      <c r="C76" s="220">
        <f>Eingabe!D41</f>
        <v>4.2779482683033754</v>
      </c>
      <c r="D76" s="220">
        <f>Eingabe!F41</f>
        <v>4.2779482683033754</v>
      </c>
      <c r="E76" s="221"/>
      <c r="F76" s="221"/>
      <c r="G76" s="222"/>
      <c r="H76" s="222"/>
      <c r="I76" s="17"/>
      <c r="J76" s="17"/>
      <c r="K76" s="402"/>
      <c r="L76" s="531"/>
      <c r="M76" s="531"/>
      <c r="N76" s="531"/>
      <c r="O76" s="531"/>
      <c r="P76" s="531"/>
      <c r="Q76" s="531"/>
      <c r="R76" s="531"/>
      <c r="S76" s="531"/>
    </row>
    <row r="77" spans="1:19" s="1" customFormat="1" ht="13" customHeight="1">
      <c r="A77" s="402"/>
      <c r="B77" s="17" t="s">
        <v>292</v>
      </c>
      <c r="C77" s="220">
        <f>Eingabe!D42</f>
        <v>27.194109375</v>
      </c>
      <c r="D77" s="271">
        <f>Eingabe!F42</f>
        <v>27.194109375</v>
      </c>
      <c r="E77" s="221"/>
      <c r="F77" s="221"/>
      <c r="G77" s="222"/>
      <c r="H77" s="222"/>
      <c r="I77" s="18"/>
      <c r="J77" s="17"/>
      <c r="K77" s="402"/>
      <c r="L77" s="531"/>
      <c r="M77" s="531"/>
      <c r="N77" s="531"/>
      <c r="O77" s="531"/>
      <c r="P77" s="531"/>
      <c r="Q77" s="531"/>
      <c r="R77" s="531"/>
      <c r="S77" s="531"/>
    </row>
    <row r="78" spans="1:19" s="1" customFormat="1" ht="13" customHeight="1">
      <c r="A78" s="402"/>
      <c r="B78" s="17" t="s">
        <v>293</v>
      </c>
      <c r="C78" s="220">
        <f>Eingabe!D43</f>
        <v>54.38821875</v>
      </c>
      <c r="D78" s="220">
        <f>Eingabe!F43</f>
        <v>27.194109375</v>
      </c>
      <c r="E78" s="221"/>
      <c r="F78" s="221"/>
      <c r="G78" s="222"/>
      <c r="H78" s="222"/>
      <c r="I78" s="18"/>
      <c r="J78" s="17"/>
      <c r="K78" s="402"/>
      <c r="L78" s="531"/>
      <c r="M78" s="531"/>
      <c r="N78" s="531"/>
      <c r="O78" s="531"/>
      <c r="P78" s="531"/>
      <c r="Q78" s="531"/>
      <c r="R78" s="531"/>
      <c r="S78" s="531"/>
    </row>
    <row r="79" spans="1:19" s="1" customFormat="1" ht="5.5" customHeight="1">
      <c r="A79" s="402"/>
      <c r="B79" s="17"/>
      <c r="C79" s="164"/>
      <c r="D79" s="164"/>
      <c r="E79" s="402"/>
      <c r="F79" s="402"/>
      <c r="G79" s="219"/>
      <c r="H79" s="219"/>
      <c r="I79" s="18"/>
      <c r="J79" s="17"/>
      <c r="K79" s="402"/>
      <c r="L79" s="531"/>
      <c r="M79" s="531"/>
      <c r="N79" s="531"/>
      <c r="O79" s="531"/>
      <c r="P79" s="531"/>
      <c r="Q79" s="531"/>
      <c r="R79" s="531"/>
      <c r="S79" s="531"/>
    </row>
    <row r="80" spans="1:19" s="1" customFormat="1" ht="13" customHeight="1">
      <c r="A80" s="402"/>
      <c r="B80" s="1086" t="s">
        <v>516</v>
      </c>
      <c r="C80" s="1086"/>
      <c r="D80" s="1086"/>
      <c r="E80" s="523"/>
      <c r="F80" s="523"/>
      <c r="G80" s="523"/>
      <c r="H80" s="523"/>
      <c r="I80" s="18"/>
      <c r="J80" s="17"/>
      <c r="K80" s="402"/>
      <c r="L80" s="531"/>
      <c r="M80" s="531"/>
      <c r="N80" s="531"/>
      <c r="O80" s="531"/>
      <c r="P80" s="531"/>
      <c r="Q80" s="531"/>
      <c r="R80" s="531"/>
      <c r="S80" s="531"/>
    </row>
    <row r="81" spans="1:19" s="1" customFormat="1" ht="13" customHeight="1">
      <c r="A81" s="402"/>
      <c r="B81" s="402"/>
      <c r="C81" s="519" t="s">
        <v>30</v>
      </c>
      <c r="D81" s="519" t="s">
        <v>117</v>
      </c>
      <c r="E81" s="27"/>
      <c r="F81" s="27"/>
      <c r="G81" s="519"/>
      <c r="H81" s="519"/>
      <c r="I81" s="18"/>
      <c r="J81" s="17"/>
      <c r="K81" s="402"/>
      <c r="L81" s="531"/>
      <c r="M81" s="531"/>
      <c r="N81" s="531"/>
      <c r="O81" s="531"/>
      <c r="P81" s="531"/>
      <c r="Q81" s="531"/>
      <c r="R81" s="531"/>
      <c r="S81" s="531"/>
    </row>
    <row r="82" spans="1:19" s="1" customFormat="1" ht="13" customHeight="1">
      <c r="A82" s="402"/>
      <c r="B82" s="531"/>
      <c r="C82" s="1032" t="s">
        <v>294</v>
      </c>
      <c r="D82" s="1032"/>
      <c r="E82" s="520"/>
      <c r="F82" s="402"/>
      <c r="G82" s="1032"/>
      <c r="H82" s="1032"/>
      <c r="I82" s="18"/>
      <c r="J82" s="17"/>
      <c r="K82" s="402"/>
      <c r="L82" s="531"/>
      <c r="M82" s="531"/>
      <c r="N82" s="531"/>
      <c r="O82" s="531"/>
      <c r="P82" s="531"/>
      <c r="Q82" s="531"/>
      <c r="R82" s="531"/>
      <c r="S82" s="531"/>
    </row>
    <row r="83" spans="1:19" s="1" customFormat="1" ht="13" customHeight="1">
      <c r="A83" s="402"/>
      <c r="B83" s="402" t="s">
        <v>74</v>
      </c>
      <c r="C83" s="220">
        <f>Eingabe!D53</f>
        <v>4.7057430951337125</v>
      </c>
      <c r="D83" s="220">
        <f>Eingabe!F53</f>
        <v>4.7057430951337125</v>
      </c>
      <c r="E83" s="221"/>
      <c r="F83" s="221"/>
      <c r="G83" s="222"/>
      <c r="H83" s="222"/>
      <c r="I83" s="18"/>
      <c r="J83" s="17"/>
      <c r="K83" s="402"/>
      <c r="L83" s="531"/>
      <c r="M83" s="531"/>
      <c r="N83" s="531"/>
      <c r="O83" s="531"/>
      <c r="P83" s="531"/>
      <c r="Q83" s="531"/>
      <c r="R83" s="531"/>
      <c r="S83" s="531"/>
    </row>
    <row r="84" spans="1:19" s="1" customFormat="1" ht="13" customHeight="1">
      <c r="A84" s="402"/>
      <c r="B84" s="212" t="s">
        <v>281</v>
      </c>
      <c r="C84" s="220">
        <f>Eingabe!D54</f>
        <v>29.921271248249965</v>
      </c>
      <c r="D84" s="271">
        <f>Eingabe!F54</f>
        <v>29.921271248249965</v>
      </c>
      <c r="E84" s="221"/>
      <c r="F84" s="221"/>
      <c r="G84" s="222"/>
      <c r="H84" s="222"/>
      <c r="I84" s="18"/>
      <c r="J84" s="17"/>
      <c r="K84" s="402"/>
      <c r="L84" s="531"/>
      <c r="M84" s="531"/>
      <c r="N84" s="531"/>
      <c r="O84" s="531"/>
      <c r="P84" s="531"/>
      <c r="Q84" s="531"/>
      <c r="R84" s="531"/>
      <c r="S84" s="531"/>
    </row>
    <row r="85" spans="1:19" s="1" customFormat="1" ht="13" customHeight="1">
      <c r="A85" s="402"/>
      <c r="B85" s="212" t="s">
        <v>282</v>
      </c>
      <c r="C85" s="220">
        <f>Eingabe!D55</f>
        <v>59.842542496499931</v>
      </c>
      <c r="D85" s="220">
        <f>Eingabe!F55</f>
        <v>29.921271248249965</v>
      </c>
      <c r="E85" s="221"/>
      <c r="F85" s="221"/>
      <c r="G85" s="222"/>
      <c r="H85" s="222"/>
      <c r="I85" s="18"/>
      <c r="J85" s="17"/>
      <c r="K85" s="402"/>
      <c r="L85" s="531"/>
      <c r="M85" s="531"/>
      <c r="N85" s="531"/>
      <c r="O85" s="531"/>
      <c r="P85" s="531"/>
      <c r="Q85" s="531"/>
      <c r="R85" s="531"/>
      <c r="S85" s="531"/>
    </row>
    <row r="86" spans="1:19" s="1" customFormat="1" ht="5.5" customHeight="1">
      <c r="A86" s="402"/>
      <c r="B86" s="402"/>
      <c r="C86" s="402"/>
      <c r="D86" s="9"/>
      <c r="E86" s="402"/>
      <c r="F86" s="402"/>
      <c r="G86" s="12"/>
      <c r="H86" s="12"/>
      <c r="I86" s="13"/>
      <c r="J86" s="12"/>
      <c r="K86" s="402"/>
      <c r="L86" s="531"/>
      <c r="M86" s="531"/>
      <c r="N86" s="531"/>
      <c r="O86" s="531"/>
      <c r="P86" s="531"/>
      <c r="Q86" s="531"/>
      <c r="R86" s="531"/>
      <c r="S86" s="531"/>
    </row>
    <row r="87" spans="1:19" s="1" customFormat="1" ht="15.55">
      <c r="A87" s="1035" t="s">
        <v>555</v>
      </c>
      <c r="B87" s="1035"/>
      <c r="C87" s="1035"/>
      <c r="D87" s="1035"/>
      <c r="E87" s="1035"/>
      <c r="F87" s="1035"/>
      <c r="G87" s="1035"/>
      <c r="H87" s="1035"/>
      <c r="I87" s="1035"/>
      <c r="J87" s="1035"/>
      <c r="K87" s="500"/>
      <c r="L87" s="2"/>
      <c r="M87" s="531"/>
      <c r="N87" s="531"/>
      <c r="O87" s="531"/>
      <c r="P87" s="531"/>
      <c r="Q87" s="531"/>
      <c r="R87" s="531"/>
      <c r="S87" s="531"/>
    </row>
    <row r="88" spans="1:19" s="1" customFormat="1" ht="13" customHeight="1">
      <c r="A88" s="402"/>
      <c r="B88" s="402"/>
      <c r="C88" s="402"/>
      <c r="D88" s="9"/>
      <c r="E88" s="402"/>
      <c r="F88" s="402"/>
      <c r="G88" s="12"/>
      <c r="H88" s="12"/>
      <c r="I88" s="13"/>
      <c r="J88" s="12"/>
      <c r="K88" s="402"/>
      <c r="L88" s="531"/>
      <c r="M88" s="531"/>
      <c r="N88" s="531"/>
      <c r="O88" s="531"/>
      <c r="P88" s="531"/>
      <c r="Q88" s="531"/>
      <c r="R88" s="531"/>
      <c r="S88" s="531"/>
    </row>
    <row r="89" spans="1:19" s="1" customFormat="1" ht="13" customHeight="1">
      <c r="A89" s="402"/>
      <c r="B89" s="1086" t="s">
        <v>273</v>
      </c>
      <c r="C89" s="1086"/>
      <c r="D89" s="1086"/>
      <c r="E89" s="523"/>
      <c r="F89" s="523"/>
      <c r="G89" s="523"/>
      <c r="H89" s="523"/>
      <c r="I89" s="211"/>
      <c r="J89" s="211"/>
      <c r="K89" s="211"/>
      <c r="L89" s="531"/>
      <c r="M89" s="531"/>
      <c r="N89" s="531"/>
      <c r="O89" s="531"/>
      <c r="P89" s="531"/>
      <c r="Q89" s="531"/>
      <c r="R89" s="531"/>
      <c r="S89" s="531"/>
    </row>
    <row r="90" spans="1:19" s="1" customFormat="1" ht="13" customHeight="1">
      <c r="A90" s="402"/>
      <c r="B90" s="402"/>
      <c r="C90" s="519" t="s">
        <v>30</v>
      </c>
      <c r="D90" s="519" t="s">
        <v>117</v>
      </c>
      <c r="E90" s="27"/>
      <c r="F90" s="27"/>
      <c r="G90" s="519"/>
      <c r="H90" s="519"/>
      <c r="I90" s="17"/>
      <c r="J90" s="17"/>
      <c r="K90" s="17"/>
      <c r="L90" s="531"/>
      <c r="M90" s="531"/>
      <c r="N90" s="531"/>
      <c r="O90" s="531"/>
      <c r="P90" s="531"/>
      <c r="Q90" s="531"/>
      <c r="R90" s="531"/>
      <c r="S90" s="531"/>
    </row>
    <row r="91" spans="1:19" s="1" customFormat="1" ht="13" customHeight="1">
      <c r="A91" s="402"/>
      <c r="B91" s="531"/>
      <c r="C91" s="1032" t="s">
        <v>290</v>
      </c>
      <c r="D91" s="1032"/>
      <c r="E91" s="520"/>
      <c r="F91" s="402"/>
      <c r="G91" s="1032"/>
      <c r="H91" s="1032"/>
      <c r="I91" s="27"/>
      <c r="J91" s="17"/>
      <c r="K91" s="17"/>
      <c r="L91" s="531"/>
      <c r="M91" s="531"/>
      <c r="N91" s="531"/>
      <c r="O91" s="531"/>
      <c r="P91" s="531"/>
      <c r="Q91" s="531"/>
      <c r="R91" s="531"/>
      <c r="S91" s="531"/>
    </row>
    <row r="92" spans="1:19" s="456" customFormat="1" ht="13" customHeight="1">
      <c r="A92" s="402"/>
      <c r="B92" s="212" t="s">
        <v>64</v>
      </c>
      <c r="C92" s="459">
        <f>D122</f>
        <v>132.08556149732618</v>
      </c>
      <c r="D92" s="459">
        <f>D197</f>
        <v>132.08556149732618</v>
      </c>
      <c r="E92" s="520"/>
      <c r="F92" s="402"/>
      <c r="G92" s="520"/>
      <c r="H92" s="520"/>
      <c r="I92" s="27"/>
      <c r="J92" s="17"/>
      <c r="K92" s="17"/>
      <c r="L92" s="531"/>
      <c r="M92" s="531"/>
      <c r="N92" s="531"/>
      <c r="O92" s="531"/>
      <c r="P92" s="531"/>
      <c r="Q92" s="531"/>
      <c r="R92" s="531"/>
      <c r="S92" s="531"/>
    </row>
    <row r="93" spans="1:19" s="1" customFormat="1" ht="13" customHeight="1">
      <c r="A93" s="402"/>
      <c r="B93" s="212" t="s">
        <v>71</v>
      </c>
      <c r="C93" s="220">
        <f>Eingabe!D45</f>
        <v>53.973326745717607</v>
      </c>
      <c r="D93" s="220">
        <f>Eingabe!F45</f>
        <v>34.202213971405548</v>
      </c>
      <c r="E93" s="221"/>
      <c r="F93" s="221"/>
      <c r="G93" s="222"/>
      <c r="H93" s="222"/>
      <c r="I93" s="27"/>
      <c r="J93" s="17"/>
      <c r="K93" s="17"/>
      <c r="L93" s="531"/>
      <c r="M93" s="531"/>
      <c r="N93" s="531"/>
      <c r="O93" s="531"/>
      <c r="P93" s="531"/>
      <c r="Q93" s="531"/>
      <c r="R93" s="531"/>
      <c r="S93" s="531"/>
    </row>
    <row r="94" spans="1:19" s="1" customFormat="1" ht="13" customHeight="1">
      <c r="A94" s="402"/>
      <c r="B94" s="212" t="s">
        <v>123</v>
      </c>
      <c r="C94" s="220">
        <f>Eingabe!D46</f>
        <v>59.246248656498729</v>
      </c>
      <c r="D94" s="271">
        <f>Eingabe!F46</f>
        <v>84.75</v>
      </c>
      <c r="E94" s="221"/>
      <c r="F94" s="221"/>
      <c r="G94" s="222"/>
      <c r="H94" s="222"/>
      <c r="I94" s="27"/>
      <c r="J94" s="17"/>
      <c r="K94" s="17"/>
      <c r="L94" s="531"/>
      <c r="M94" s="531"/>
      <c r="N94" s="531"/>
      <c r="O94" s="531"/>
      <c r="P94" s="531"/>
      <c r="Q94" s="531"/>
      <c r="R94" s="531"/>
      <c r="S94" s="531"/>
    </row>
    <row r="95" spans="1:19" s="1" customFormat="1" ht="13" customHeight="1">
      <c r="A95" s="402"/>
      <c r="B95" s="212" t="s">
        <v>65</v>
      </c>
      <c r="C95" s="220">
        <f>Eingabe!D47</f>
        <v>30.470483311968351</v>
      </c>
      <c r="D95" s="220">
        <f>Eingabe!F47</f>
        <v>30.470483311968351</v>
      </c>
      <c r="E95" s="221"/>
      <c r="F95" s="221"/>
      <c r="G95" s="222"/>
      <c r="H95" s="222"/>
      <c r="I95" s="17"/>
      <c r="J95" s="17"/>
      <c r="K95" s="17"/>
      <c r="L95" s="531"/>
      <c r="M95" s="531"/>
      <c r="N95" s="531"/>
      <c r="O95" s="531"/>
      <c r="P95" s="531"/>
      <c r="Q95" s="531"/>
      <c r="R95" s="531"/>
      <c r="S95" s="531"/>
    </row>
    <row r="96" spans="1:19" s="456" customFormat="1" ht="13" customHeight="1">
      <c r="A96" s="402"/>
      <c r="B96" s="528" t="s">
        <v>494</v>
      </c>
      <c r="C96" s="220">
        <f>Eingabe!D48</f>
        <v>134.93331686429403</v>
      </c>
      <c r="D96" s="222" t="s">
        <v>434</v>
      </c>
      <c r="E96" s="221"/>
      <c r="F96" s="221"/>
      <c r="G96" s="222"/>
      <c r="H96" s="222"/>
      <c r="I96" s="17"/>
      <c r="J96" s="17"/>
      <c r="K96" s="17"/>
      <c r="L96" s="531"/>
      <c r="M96" s="531"/>
      <c r="N96" s="531"/>
      <c r="O96" s="531"/>
      <c r="P96" s="531"/>
      <c r="Q96" s="531"/>
      <c r="R96" s="531"/>
      <c r="S96" s="531"/>
    </row>
    <row r="97" spans="1:19" s="1" customFormat="1" ht="13" customHeight="1">
      <c r="A97" s="402"/>
      <c r="B97" s="223" t="s">
        <v>296</v>
      </c>
      <c r="C97" s="524">
        <f>Eingabe!D49</f>
        <v>80.977854917309827</v>
      </c>
      <c r="D97" s="524">
        <f>Eingabe!F49</f>
        <v>84.795996148612602</v>
      </c>
      <c r="E97" s="27"/>
      <c r="F97" s="27"/>
      <c r="G97" s="524"/>
      <c r="H97" s="524"/>
      <c r="I97" s="17"/>
      <c r="J97" s="17"/>
      <c r="K97" s="17"/>
      <c r="L97" s="531"/>
      <c r="M97" s="531"/>
      <c r="N97" s="531"/>
      <c r="O97" s="531"/>
      <c r="P97" s="531"/>
      <c r="Q97" s="531"/>
      <c r="R97" s="531"/>
      <c r="S97" s="531"/>
    </row>
    <row r="98" spans="1:19" s="1" customFormat="1" ht="13" customHeight="1">
      <c r="A98" s="402"/>
      <c r="B98" s="1085" t="str">
        <f>Eingabe!F29</f>
        <v>Verankerung Mittelbereich zulässig</v>
      </c>
      <c r="C98" s="1085"/>
      <c r="D98" s="1085"/>
      <c r="E98" s="524"/>
      <c r="F98" s="524"/>
      <c r="G98" s="524"/>
      <c r="H98" s="524"/>
      <c r="I98" s="17"/>
      <c r="J98" s="17"/>
      <c r="K98" s="17"/>
      <c r="L98" s="531"/>
      <c r="M98" s="531"/>
      <c r="N98" s="531"/>
      <c r="O98" s="531"/>
      <c r="P98" s="531"/>
      <c r="Q98" s="531"/>
      <c r="R98" s="531"/>
      <c r="S98" s="531"/>
    </row>
    <row r="99" spans="1:19" s="1" customFormat="1" ht="5.9" customHeight="1">
      <c r="A99" s="402"/>
      <c r="B99" s="17"/>
      <c r="C99" s="164"/>
      <c r="D99" s="164"/>
      <c r="E99" s="402"/>
      <c r="F99" s="402"/>
      <c r="G99" s="219"/>
      <c r="H99" s="219"/>
      <c r="I99" s="211"/>
      <c r="J99" s="211"/>
      <c r="K99" s="211"/>
      <c r="L99" s="531"/>
      <c r="M99" s="531"/>
      <c r="N99" s="531"/>
      <c r="O99" s="531"/>
      <c r="P99" s="531"/>
      <c r="Q99" s="531"/>
      <c r="R99" s="531"/>
      <c r="S99" s="531"/>
    </row>
    <row r="100" spans="1:19" s="1" customFormat="1" ht="13" customHeight="1">
      <c r="A100" s="402"/>
      <c r="B100" s="1086" t="s">
        <v>516</v>
      </c>
      <c r="C100" s="1086"/>
      <c r="D100" s="1086"/>
      <c r="E100" s="523"/>
      <c r="F100" s="523"/>
      <c r="G100" s="523"/>
      <c r="H100" s="523"/>
      <c r="I100" s="17"/>
      <c r="J100" s="17"/>
      <c r="K100" s="17"/>
      <c r="L100" s="531"/>
      <c r="M100" s="531"/>
      <c r="N100" s="402"/>
      <c r="O100" s="272"/>
      <c r="P100" s="10"/>
      <c r="Q100" s="402"/>
      <c r="R100" s="531"/>
      <c r="S100" s="531"/>
    </row>
    <row r="101" spans="1:19" s="1" customFormat="1" ht="13" customHeight="1">
      <c r="A101" s="402"/>
      <c r="B101" s="402"/>
      <c r="C101" s="519" t="s">
        <v>30</v>
      </c>
      <c r="D101" s="519" t="s">
        <v>117</v>
      </c>
      <c r="E101" s="27"/>
      <c r="F101" s="27"/>
      <c r="G101" s="519"/>
      <c r="H101" s="519"/>
      <c r="I101" s="165"/>
      <c r="J101" s="165"/>
      <c r="K101" s="17"/>
      <c r="L101" s="531"/>
      <c r="M101" s="531"/>
      <c r="N101" s="402"/>
      <c r="O101" s="272"/>
      <c r="P101" s="10"/>
      <c r="Q101" s="402"/>
      <c r="R101" s="531"/>
      <c r="S101" s="531"/>
    </row>
    <row r="102" spans="1:19" s="1" customFormat="1" ht="13" customHeight="1">
      <c r="A102" s="402"/>
      <c r="B102" s="531"/>
      <c r="C102" s="1032" t="s">
        <v>290</v>
      </c>
      <c r="D102" s="1032"/>
      <c r="E102" s="520"/>
      <c r="F102" s="402"/>
      <c r="G102" s="1032"/>
      <c r="H102" s="1032"/>
      <c r="I102" s="165"/>
      <c r="J102" s="165"/>
      <c r="K102" s="17"/>
      <c r="L102" s="531"/>
      <c r="M102" s="531"/>
      <c r="N102" s="402"/>
      <c r="O102" s="272"/>
      <c r="P102" s="10"/>
      <c r="Q102" s="402"/>
      <c r="R102" s="531"/>
      <c r="S102" s="531"/>
    </row>
    <row r="103" spans="1:19" s="456" customFormat="1" ht="13" customHeight="1">
      <c r="A103" s="402"/>
      <c r="B103" s="212" t="s">
        <v>64</v>
      </c>
      <c r="C103" s="459">
        <f>D255</f>
        <v>132.08556149732618</v>
      </c>
      <c r="D103" s="459">
        <f>D330</f>
        <v>132.08556149732618</v>
      </c>
      <c r="E103" s="520"/>
      <c r="F103" s="402"/>
      <c r="G103" s="520"/>
      <c r="H103" s="520"/>
      <c r="I103" s="165"/>
      <c r="J103" s="165"/>
      <c r="K103" s="17"/>
      <c r="L103" s="531"/>
      <c r="M103" s="531"/>
      <c r="N103" s="402"/>
      <c r="O103" s="272"/>
      <c r="P103" s="10"/>
      <c r="Q103" s="402"/>
      <c r="R103" s="531"/>
      <c r="S103" s="531"/>
    </row>
    <row r="104" spans="1:19" s="1" customFormat="1" ht="13" customHeight="1">
      <c r="A104" s="402"/>
      <c r="B104" s="212" t="s">
        <v>71</v>
      </c>
      <c r="C104" s="220">
        <f>Eingabe!D57</f>
        <v>53.973326745717607</v>
      </c>
      <c r="D104" s="220">
        <f>Eingabe!F57</f>
        <v>34.202213971405548</v>
      </c>
      <c r="E104" s="221"/>
      <c r="F104" s="221"/>
      <c r="G104" s="222"/>
      <c r="H104" s="222"/>
      <c r="I104" s="165"/>
      <c r="J104" s="165"/>
      <c r="K104" s="17"/>
      <c r="L104" s="531"/>
      <c r="M104" s="531"/>
      <c r="N104" s="402"/>
      <c r="O104" s="272"/>
      <c r="P104" s="10"/>
      <c r="Q104" s="402"/>
      <c r="R104" s="531"/>
      <c r="S104" s="531"/>
    </row>
    <row r="105" spans="1:19" s="1" customFormat="1" ht="13" customHeight="1">
      <c r="A105" s="402"/>
      <c r="B105" s="528" t="s">
        <v>123</v>
      </c>
      <c r="C105" s="220">
        <f>Eingabe!D58</f>
        <v>59.246248656498729</v>
      </c>
      <c r="D105" s="271">
        <f>Eingabe!F58</f>
        <v>84.75</v>
      </c>
      <c r="E105" s="221"/>
      <c r="F105" s="221"/>
      <c r="G105" s="222"/>
      <c r="H105" s="222"/>
      <c r="I105" s="165"/>
      <c r="J105" s="165"/>
      <c r="K105" s="17"/>
      <c r="L105" s="531"/>
      <c r="M105" s="531"/>
      <c r="N105" s="402"/>
      <c r="O105" s="272"/>
      <c r="P105" s="10"/>
      <c r="Q105" s="402"/>
      <c r="R105" s="531"/>
      <c r="S105" s="531"/>
    </row>
    <row r="106" spans="1:19" s="1" customFormat="1" ht="13" customHeight="1">
      <c r="A106" s="402"/>
      <c r="B106" s="212" t="s">
        <v>65</v>
      </c>
      <c r="C106" s="220">
        <f>Eingabe!D59</f>
        <v>30.368493181626725</v>
      </c>
      <c r="D106" s="220">
        <f>Eingabe!F59</f>
        <v>30.368493181626725</v>
      </c>
      <c r="E106" s="221"/>
      <c r="F106" s="221"/>
      <c r="G106" s="222"/>
      <c r="H106" s="222"/>
      <c r="I106" s="17"/>
      <c r="J106" s="17"/>
      <c r="K106" s="17"/>
      <c r="L106" s="531"/>
      <c r="M106" s="531"/>
      <c r="N106" s="402"/>
      <c r="O106" s="272"/>
      <c r="P106" s="10"/>
      <c r="Q106" s="402"/>
      <c r="R106" s="531"/>
      <c r="S106" s="531"/>
    </row>
    <row r="107" spans="1:19" s="456" customFormat="1" ht="13" customHeight="1">
      <c r="A107" s="402"/>
      <c r="B107" s="528" t="s">
        <v>494</v>
      </c>
      <c r="C107" s="220">
        <f>Eingabe!D60</f>
        <v>134.93331686429403</v>
      </c>
      <c r="D107" s="222" t="s">
        <v>434</v>
      </c>
      <c r="E107" s="221"/>
      <c r="F107" s="221"/>
      <c r="G107" s="222"/>
      <c r="H107" s="222"/>
      <c r="I107" s="17"/>
      <c r="J107" s="17"/>
      <c r="K107" s="17"/>
      <c r="L107" s="531"/>
      <c r="M107" s="531"/>
      <c r="N107" s="402"/>
      <c r="O107" s="272"/>
      <c r="P107" s="10"/>
      <c r="Q107" s="402"/>
      <c r="R107" s="531"/>
      <c r="S107" s="531"/>
    </row>
    <row r="108" spans="1:19" s="1" customFormat="1" ht="13" customHeight="1">
      <c r="A108" s="402"/>
      <c r="B108" s="223" t="s">
        <v>296</v>
      </c>
      <c r="C108" s="524">
        <f>Eingabe!D61</f>
        <v>89.371662153152812</v>
      </c>
      <c r="D108" s="524">
        <f>Eingabe!F61</f>
        <v>93.571617507585842</v>
      </c>
      <c r="E108" s="27"/>
      <c r="F108" s="27"/>
      <c r="G108" s="524"/>
      <c r="H108" s="524"/>
      <c r="I108" s="17"/>
      <c r="J108" s="17"/>
      <c r="K108" s="17"/>
      <c r="L108" s="531"/>
      <c r="M108" s="531"/>
      <c r="N108" s="402"/>
      <c r="O108" s="272"/>
      <c r="P108" s="10"/>
      <c r="Q108" s="402"/>
      <c r="R108" s="531"/>
      <c r="S108" s="531"/>
    </row>
    <row r="109" spans="1:19" s="1" customFormat="1" ht="13" customHeight="1">
      <c r="A109" s="402"/>
      <c r="B109" s="1036" t="str">
        <f>Eingabe!F33</f>
        <v>Verankerung Randbereich zulässig</v>
      </c>
      <c r="C109" s="1036"/>
      <c r="D109" s="1036"/>
      <c r="E109" s="519"/>
      <c r="F109" s="519"/>
      <c r="G109" s="519"/>
      <c r="H109" s="519"/>
      <c r="I109" s="17"/>
      <c r="J109" s="17"/>
      <c r="K109" s="17"/>
      <c r="L109" s="531"/>
      <c r="M109" s="531"/>
      <c r="N109" s="402"/>
      <c r="O109" s="272"/>
      <c r="P109" s="10"/>
      <c r="Q109" s="402"/>
      <c r="R109" s="531"/>
      <c r="S109" s="531"/>
    </row>
    <row r="110" spans="1:19" s="1" customFormat="1" ht="7.5" customHeight="1">
      <c r="A110" s="402"/>
      <c r="B110" s="17"/>
      <c r="C110" s="519"/>
      <c r="D110" s="519"/>
      <c r="E110" s="519"/>
      <c r="F110" s="519"/>
      <c r="G110" s="519"/>
      <c r="H110" s="519"/>
      <c r="I110" s="17"/>
      <c r="J110" s="17"/>
      <c r="K110" s="17"/>
      <c r="L110" s="531"/>
      <c r="M110" s="531"/>
      <c r="N110" s="402"/>
      <c r="O110" s="272"/>
      <c r="P110" s="10"/>
      <c r="Q110" s="402"/>
      <c r="R110" s="531"/>
      <c r="S110" s="531"/>
    </row>
    <row r="111" spans="1:19" s="1" customFormat="1" ht="13" customHeight="1">
      <c r="A111" s="1036" t="s">
        <v>580</v>
      </c>
      <c r="B111" s="1036"/>
      <c r="C111" s="1036"/>
      <c r="D111" s="1036"/>
      <c r="E111" s="1036"/>
      <c r="F111" s="1036"/>
      <c r="G111" s="1036"/>
      <c r="H111" s="1036"/>
      <c r="I111" s="1036"/>
      <c r="J111" s="1036"/>
      <c r="K111" s="521"/>
      <c r="L111" s="531"/>
      <c r="M111" s="531"/>
      <c r="N111" s="402"/>
      <c r="O111" s="272"/>
      <c r="P111" s="10"/>
      <c r="Q111" s="402"/>
      <c r="R111" s="531"/>
      <c r="S111" s="531"/>
    </row>
    <row r="112" spans="1:19" s="1" customFormat="1" ht="13" customHeight="1">
      <c r="A112" s="1037" t="s">
        <v>581</v>
      </c>
      <c r="B112" s="1037"/>
      <c r="C112" s="1037"/>
      <c r="D112" s="1037"/>
      <c r="E112" s="1037"/>
      <c r="F112" s="1037"/>
      <c r="G112" s="1037"/>
      <c r="H112" s="1037"/>
      <c r="I112" s="1037"/>
      <c r="J112" s="1037"/>
      <c r="K112" s="522"/>
      <c r="L112" s="531"/>
      <c r="M112" s="531"/>
      <c r="N112" s="402"/>
      <c r="O112" s="272"/>
      <c r="P112" s="9"/>
      <c r="Q112" s="273"/>
      <c r="R112" s="531"/>
      <c r="S112" s="531"/>
    </row>
    <row r="113" spans="1:19" s="1" customFormat="1" ht="5.5" customHeight="1">
      <c r="A113" s="402"/>
      <c r="B113" s="520"/>
      <c r="C113" s="520"/>
      <c r="D113" s="520"/>
      <c r="E113" s="520"/>
      <c r="F113" s="520"/>
      <c r="G113" s="520"/>
      <c r="H113" s="520"/>
      <c r="I113" s="520"/>
      <c r="J113" s="520"/>
      <c r="K113" s="520"/>
      <c r="L113" s="531"/>
      <c r="M113" s="531"/>
      <c r="N113" s="402"/>
      <c r="O113" s="272"/>
      <c r="P113" s="9"/>
      <c r="Q113" s="273"/>
      <c r="R113" s="531"/>
      <c r="S113" s="531"/>
    </row>
    <row r="114" spans="1:19" s="1" customFormat="1" ht="16" customHeight="1">
      <c r="A114" s="1035" t="s">
        <v>540</v>
      </c>
      <c r="B114" s="1035"/>
      <c r="C114" s="1035"/>
      <c r="D114" s="1035"/>
      <c r="E114" s="1035"/>
      <c r="F114" s="1035"/>
      <c r="G114" s="1035"/>
      <c r="H114" s="1035"/>
      <c r="I114" s="1035"/>
      <c r="J114" s="1035"/>
      <c r="K114" s="500"/>
      <c r="L114" s="531"/>
      <c r="M114" s="531"/>
      <c r="N114" s="402"/>
      <c r="O114" s="272"/>
      <c r="P114" s="9"/>
      <c r="Q114" s="273"/>
      <c r="R114" s="531"/>
      <c r="S114" s="531"/>
    </row>
    <row r="115" spans="1:19" s="1" customFormat="1" ht="88" customHeight="1">
      <c r="A115" s="402"/>
      <c r="B115" s="1068" t="s">
        <v>1551</v>
      </c>
      <c r="C115" s="1055"/>
      <c r="D115" s="1055"/>
      <c r="E115" s="1055"/>
      <c r="F115" s="1055"/>
      <c r="G115" s="1055"/>
      <c r="H115" s="1055"/>
      <c r="I115" s="1055"/>
      <c r="J115" s="531"/>
      <c r="K115" s="531"/>
      <c r="L115" s="531"/>
      <c r="M115" s="531"/>
      <c r="N115" s="402"/>
      <c r="O115" s="272"/>
      <c r="P115" s="9"/>
      <c r="Q115" s="273"/>
      <c r="R115" s="531"/>
      <c r="S115" s="531"/>
    </row>
    <row r="116" spans="1:19" s="239" customFormat="1" ht="14.15" customHeight="1">
      <c r="A116" s="1033" t="s">
        <v>1154</v>
      </c>
      <c r="B116" s="1033"/>
      <c r="C116" s="1033"/>
      <c r="D116" s="1033"/>
      <c r="E116" s="1033"/>
      <c r="F116" s="1033"/>
      <c r="G116" s="1033"/>
      <c r="H116" s="1033"/>
      <c r="I116" s="1033"/>
      <c r="J116" s="1033"/>
      <c r="K116" s="502"/>
      <c r="L116" s="243"/>
    </row>
    <row r="117" spans="1:19" s="239" customFormat="1" ht="5.9" customHeight="1">
      <c r="A117" s="228"/>
      <c r="B117" s="242"/>
      <c r="C117" s="242"/>
      <c r="D117" s="242"/>
      <c r="E117" s="242"/>
      <c r="F117" s="242"/>
      <c r="G117" s="242"/>
      <c r="H117" s="242"/>
      <c r="I117" s="242"/>
      <c r="J117" s="242"/>
      <c r="K117" s="228"/>
    </row>
    <row r="118" spans="1:19" s="239" customFormat="1" ht="13" customHeight="1">
      <c r="A118" s="1032" t="s">
        <v>514</v>
      </c>
      <c r="B118" s="1032"/>
      <c r="C118" s="1032"/>
      <c r="D118" s="1032"/>
      <c r="E118" s="1032"/>
      <c r="F118" s="1032"/>
      <c r="G118" s="1032"/>
      <c r="H118" s="1032"/>
      <c r="I118" s="1032"/>
      <c r="J118" s="1032"/>
      <c r="K118" s="520"/>
    </row>
    <row r="119" spans="1:19" s="239" customFormat="1" ht="13" customHeight="1">
      <c r="A119" s="17"/>
      <c r="B119" s="14" t="s">
        <v>1</v>
      </c>
      <c r="C119" s="232"/>
      <c r="D119" s="232"/>
      <c r="E119" s="232"/>
      <c r="F119" s="17"/>
      <c r="G119" s="527"/>
      <c r="H119" s="527"/>
      <c r="I119" s="527"/>
      <c r="J119" s="527"/>
      <c r="K119" s="17"/>
    </row>
    <row r="120" spans="1:19" s="239" customFormat="1" ht="13" customHeight="1">
      <c r="A120" s="17"/>
      <c r="B120" s="17"/>
      <c r="C120" s="527" t="s">
        <v>4</v>
      </c>
      <c r="D120" s="19">
        <f>INDEX(Tragwerk!$B$23:$D$23,1,MATCH(Eingabe!$C$4,Tragwerk!$B$14:$D$14))</f>
        <v>247</v>
      </c>
      <c r="E120" s="19" t="s">
        <v>2</v>
      </c>
      <c r="F120" s="17"/>
      <c r="G120" s="527" t="s">
        <v>361</v>
      </c>
      <c r="H120" s="527"/>
      <c r="I120" s="527"/>
      <c r="J120" s="527"/>
      <c r="K120" s="17"/>
    </row>
    <row r="121" spans="1:19" s="239" customFormat="1" ht="13" customHeight="1">
      <c r="A121" s="17"/>
      <c r="B121" s="17"/>
      <c r="C121" s="17" t="s">
        <v>3</v>
      </c>
      <c r="D121" s="21">
        <f>Tragwerk!$B$24</f>
        <v>1.87</v>
      </c>
      <c r="E121" s="19" t="s">
        <v>7</v>
      </c>
      <c r="F121" s="17"/>
      <c r="G121" s="527" t="s">
        <v>359</v>
      </c>
      <c r="H121" s="527"/>
      <c r="I121" s="527"/>
      <c r="J121" s="527"/>
      <c r="K121" s="17"/>
    </row>
    <row r="122" spans="1:19" s="239" customFormat="1" ht="13" customHeight="1">
      <c r="A122" s="17"/>
      <c r="B122" s="17"/>
      <c r="C122" s="527" t="s">
        <v>64</v>
      </c>
      <c r="D122" s="21">
        <f>INDEX(Tragwerk!B25:D25,1,MATCH(Eingabe!C4,Tragwerk!B14:D14))</f>
        <v>132.08556149732618</v>
      </c>
      <c r="E122" s="19" t="s">
        <v>2</v>
      </c>
      <c r="F122" s="17"/>
      <c r="G122" s="527" t="s">
        <v>73</v>
      </c>
      <c r="H122" s="527"/>
      <c r="I122" s="527"/>
      <c r="J122" s="527"/>
      <c r="K122" s="17"/>
    </row>
    <row r="123" spans="1:19" s="239" customFormat="1" ht="13" customHeight="1">
      <c r="A123" s="17"/>
      <c r="B123" s="17"/>
      <c r="C123" s="527" t="s">
        <v>302</v>
      </c>
      <c r="D123" s="21">
        <f>Tragwerk!$B$60</f>
        <v>4.2779482683033754</v>
      </c>
      <c r="E123" s="19" t="s">
        <v>2</v>
      </c>
      <c r="F123" s="17"/>
      <c r="G123" s="527" t="s">
        <v>75</v>
      </c>
      <c r="H123" s="527"/>
      <c r="I123" s="527"/>
      <c r="J123" s="527"/>
      <c r="K123" s="17"/>
    </row>
    <row r="124" spans="1:19" s="239" customFormat="1" ht="13" customHeight="1">
      <c r="A124" s="17"/>
      <c r="B124" s="17"/>
      <c r="C124" s="25" t="s">
        <v>88</v>
      </c>
      <c r="D124" s="26">
        <f>D123/D122</f>
        <v>3.2387705513066044E-2</v>
      </c>
      <c r="E124" s="520" t="s">
        <v>7</v>
      </c>
      <c r="F124" s="27"/>
      <c r="G124" s="24" t="s">
        <v>46</v>
      </c>
      <c r="H124" s="527"/>
      <c r="I124" s="527"/>
      <c r="J124" s="527"/>
      <c r="K124" s="17"/>
      <c r="M124" s="527"/>
      <c r="N124" s="527"/>
      <c r="O124" s="18"/>
      <c r="P124" s="17"/>
    </row>
    <row r="125" spans="1:19" s="239" customFormat="1" ht="6.8" customHeight="1">
      <c r="A125" s="4"/>
      <c r="B125" s="240"/>
      <c r="C125" s="240"/>
      <c r="D125" s="240"/>
      <c r="E125" s="240"/>
      <c r="F125" s="240"/>
      <c r="G125" s="240"/>
      <c r="H125" s="240"/>
      <c r="I125" s="240"/>
      <c r="J125" s="240"/>
      <c r="K125" s="4"/>
    </row>
    <row r="126" spans="1:19" s="239" customFormat="1" ht="13" customHeight="1">
      <c r="A126" s="224"/>
      <c r="B126" s="233" t="s">
        <v>132</v>
      </c>
      <c r="C126" s="19"/>
      <c r="D126" s="19"/>
      <c r="E126" s="17"/>
      <c r="F126" s="17"/>
      <c r="G126" s="527"/>
      <c r="H126" s="527"/>
      <c r="I126" s="527"/>
      <c r="J126" s="225"/>
      <c r="K126" s="224"/>
      <c r="M126" s="527"/>
      <c r="N126" s="527"/>
      <c r="O126" s="18"/>
      <c r="P126" s="17"/>
    </row>
    <row r="127" spans="1:19" s="239" customFormat="1" ht="14.15" customHeight="1">
      <c r="A127" s="224"/>
      <c r="B127" s="233"/>
      <c r="C127" s="527" t="s">
        <v>128</v>
      </c>
      <c r="D127" s="21">
        <f>INDEX(Tragwerk!$B$27:$D$27,1,MATCH(Eingabe!$C$4,Tragwerk!$B$14:$D$14))</f>
        <v>84.446010528493645</v>
      </c>
      <c r="E127" s="19" t="s">
        <v>2</v>
      </c>
      <c r="F127" s="17"/>
      <c r="G127" s="527" t="s">
        <v>361</v>
      </c>
      <c r="H127" s="527"/>
      <c r="I127" s="527"/>
      <c r="J127" s="225"/>
      <c r="K127" s="224"/>
      <c r="M127" s="527"/>
      <c r="N127" s="527"/>
      <c r="O127" s="18"/>
      <c r="P127" s="17"/>
    </row>
    <row r="128" spans="1:19" s="239" customFormat="1" ht="13" customHeight="1">
      <c r="A128" s="224"/>
      <c r="B128" s="233"/>
      <c r="C128" s="234" t="s">
        <v>129</v>
      </c>
      <c r="D128" s="21">
        <f>INDEX(Tragwerk!$B$28:$D$28,1,MATCH(Eingabe!$C$4,Tragwerk!$B$14:$D$14))</f>
        <v>420</v>
      </c>
      <c r="E128" s="19" t="s">
        <v>0</v>
      </c>
      <c r="F128" s="17"/>
      <c r="G128" s="527" t="s">
        <v>1553</v>
      </c>
      <c r="H128" s="527"/>
      <c r="I128" s="527"/>
      <c r="J128" s="225"/>
      <c r="K128" s="224"/>
      <c r="M128" s="527"/>
      <c r="N128" s="527"/>
      <c r="O128" s="18"/>
      <c r="P128" s="17"/>
    </row>
    <row r="129" spans="1:16" s="239" customFormat="1" ht="14.25" customHeight="1">
      <c r="A129" s="224"/>
      <c r="B129" s="233"/>
      <c r="C129" s="234" t="s">
        <v>130</v>
      </c>
      <c r="D129" s="20">
        <f>INDEX(Tragwerk!$B$29:$D$29,1,MATCH(Eingabe!$C$4,Tragwerk!$B$14:$D$14))</f>
        <v>176400</v>
      </c>
      <c r="E129" s="19" t="s">
        <v>16</v>
      </c>
      <c r="F129" s="17"/>
      <c r="G129" s="527" t="s">
        <v>1554</v>
      </c>
      <c r="H129" s="527"/>
      <c r="I129" s="527"/>
      <c r="J129" s="225"/>
      <c r="K129" s="224"/>
      <c r="M129" s="527"/>
      <c r="N129" s="527"/>
      <c r="O129" s="18"/>
      <c r="P129" s="17"/>
    </row>
    <row r="130" spans="1:16" s="239" customFormat="1" ht="13" customHeight="1">
      <c r="A130" s="224"/>
      <c r="B130" s="233"/>
      <c r="C130" s="234" t="s">
        <v>131</v>
      </c>
      <c r="D130" s="20">
        <f>INDEX(Tragwerk!$B$30:$D$30,1,MATCH(Eingabe!$C$4,Tragwerk!$B$14:$D$14))</f>
        <v>142800</v>
      </c>
      <c r="E130" s="19" t="s">
        <v>16</v>
      </c>
      <c r="F130" s="17"/>
      <c r="G130" s="527" t="s">
        <v>1554</v>
      </c>
      <c r="H130" s="527"/>
      <c r="I130" s="527"/>
      <c r="J130" s="225"/>
      <c r="K130" s="224"/>
      <c r="M130" s="527"/>
      <c r="N130" s="527"/>
      <c r="O130" s="18"/>
      <c r="P130" s="17"/>
    </row>
    <row r="131" spans="1:16" s="239" customFormat="1" ht="13" customHeight="1">
      <c r="A131" s="224"/>
      <c r="B131" s="233"/>
      <c r="C131" s="234" t="s">
        <v>133</v>
      </c>
      <c r="D131" s="21">
        <f>INDEX(Tragwerk!$B$31:$D$31,1,MATCH(Eingabe!$C$4,Tragwerk!$B$14:$D$14))</f>
        <v>1</v>
      </c>
      <c r="E131" s="19" t="s">
        <v>7</v>
      </c>
      <c r="F131" s="17"/>
      <c r="G131" s="527" t="s">
        <v>1324</v>
      </c>
      <c r="H131" s="527"/>
      <c r="I131" s="527"/>
      <c r="J131" s="225"/>
      <c r="K131" s="224"/>
      <c r="M131" s="527"/>
      <c r="N131" s="527"/>
      <c r="O131" s="18"/>
      <c r="P131" s="17"/>
    </row>
    <row r="132" spans="1:16" s="239" customFormat="1" ht="13" customHeight="1">
      <c r="A132" s="224"/>
      <c r="B132" s="233"/>
      <c r="C132" s="234" t="s">
        <v>104</v>
      </c>
      <c r="D132" s="21">
        <f>INDEX(Tragwerk!$B$32:$D$32,1,MATCH(Eingabe!$C$4,Tragwerk!$B$14:$D$14))</f>
        <v>1</v>
      </c>
      <c r="E132" s="19" t="s">
        <v>7</v>
      </c>
      <c r="F132" s="17"/>
      <c r="G132" s="527" t="s">
        <v>1324</v>
      </c>
      <c r="H132" s="527"/>
      <c r="I132" s="527"/>
      <c r="J132" s="225"/>
      <c r="K132" s="224"/>
      <c r="M132" s="527"/>
      <c r="N132" s="527"/>
      <c r="O132" s="18"/>
      <c r="P132" s="17"/>
    </row>
    <row r="133" spans="1:16" s="239" customFormat="1" ht="13" customHeight="1">
      <c r="A133" s="224"/>
      <c r="B133" s="233"/>
      <c r="C133" s="234" t="s">
        <v>110</v>
      </c>
      <c r="D133" s="19">
        <f>INDEX(Tragwerk!$B$33:$D$33,1,MATCH(Eingabe!$C$4,Tragwerk!$B$14:$D$14))</f>
        <v>1.04</v>
      </c>
      <c r="E133" s="19" t="s">
        <v>7</v>
      </c>
      <c r="F133" s="17"/>
      <c r="G133" s="527" t="s">
        <v>360</v>
      </c>
      <c r="H133" s="527"/>
      <c r="I133" s="527"/>
      <c r="J133" s="225"/>
      <c r="K133" s="224"/>
      <c r="M133" s="527"/>
      <c r="N133" s="527"/>
      <c r="O133" s="18"/>
      <c r="P133" s="17"/>
    </row>
    <row r="134" spans="1:16" s="239" customFormat="1" ht="13" customHeight="1">
      <c r="A134" s="224"/>
      <c r="B134" s="233"/>
      <c r="C134" s="234" t="s">
        <v>111</v>
      </c>
      <c r="D134" s="19">
        <f>INDEX(Tragwerk!$B$34:$D$34,1,MATCH(Eingabe!$C$4,Tragwerk!$B$14:$D$14))</f>
        <v>1.07</v>
      </c>
      <c r="E134" s="19" t="s">
        <v>7</v>
      </c>
      <c r="F134" s="17"/>
      <c r="G134" s="527" t="s">
        <v>360</v>
      </c>
      <c r="H134" s="527"/>
      <c r="I134" s="527"/>
      <c r="J134" s="225"/>
      <c r="K134" s="224"/>
      <c r="M134" s="527"/>
      <c r="N134" s="527"/>
      <c r="O134" s="18"/>
      <c r="P134" s="17"/>
    </row>
    <row r="135" spans="1:16" s="239" customFormat="1" ht="13" customHeight="1">
      <c r="A135" s="224"/>
      <c r="B135" s="233"/>
      <c r="C135" s="234" t="s">
        <v>112</v>
      </c>
      <c r="D135" s="19">
        <f>INDEX(Tragwerk!$B$35:$D$35,1,MATCH(Eingabe!$C$4,Tragwerk!$B$14:$D$14))</f>
        <v>1.0900000000000001</v>
      </c>
      <c r="E135" s="19" t="s">
        <v>7</v>
      </c>
      <c r="F135" s="17"/>
      <c r="G135" s="527" t="s">
        <v>360</v>
      </c>
      <c r="H135" s="527"/>
      <c r="I135" s="527"/>
      <c r="J135" s="225"/>
      <c r="K135" s="224"/>
      <c r="M135" s="527"/>
      <c r="N135" s="527"/>
      <c r="O135" s="18"/>
      <c r="P135" s="17"/>
    </row>
    <row r="136" spans="1:16" s="239" customFormat="1" ht="13" customHeight="1">
      <c r="A136" s="224"/>
      <c r="B136" s="233"/>
      <c r="C136" s="234" t="s">
        <v>108</v>
      </c>
      <c r="D136" s="19">
        <f>Tragwerk!$B$38</f>
        <v>1.2</v>
      </c>
      <c r="E136" s="19" t="s">
        <v>7</v>
      </c>
      <c r="F136" s="17"/>
      <c r="G136" s="527" t="s">
        <v>1324</v>
      </c>
      <c r="H136" s="527"/>
      <c r="I136" s="527"/>
      <c r="J136" s="225"/>
      <c r="K136" s="224"/>
      <c r="M136" s="527"/>
      <c r="N136" s="527"/>
      <c r="O136" s="18"/>
      <c r="P136" s="17"/>
    </row>
    <row r="137" spans="1:16" s="239" customFormat="1" ht="13" customHeight="1">
      <c r="A137" s="224"/>
      <c r="B137" s="233"/>
      <c r="C137" s="234" t="s">
        <v>123</v>
      </c>
      <c r="D137" s="21">
        <f>INDEX(Tragwerk!B39:D39,1,MATCH(Eingabe!C4,Tragwerk!B14:D14))</f>
        <v>59.246248656498729</v>
      </c>
      <c r="E137" s="19" t="s">
        <v>2</v>
      </c>
      <c r="F137" s="17"/>
      <c r="G137" s="527" t="s">
        <v>73</v>
      </c>
      <c r="H137" s="527"/>
      <c r="I137" s="527"/>
      <c r="J137" s="225"/>
      <c r="K137" s="224"/>
      <c r="M137" s="527"/>
      <c r="N137" s="527"/>
      <c r="O137" s="18"/>
      <c r="P137" s="17"/>
    </row>
    <row r="138" spans="1:16" s="239" customFormat="1" ht="13" customHeight="1">
      <c r="A138" s="224"/>
      <c r="B138" s="233"/>
      <c r="C138" s="527" t="s">
        <v>302</v>
      </c>
      <c r="D138" s="21">
        <f>Tragwerk!$B$60</f>
        <v>4.2779482683033754</v>
      </c>
      <c r="E138" s="19" t="s">
        <v>2</v>
      </c>
      <c r="F138" s="17"/>
      <c r="G138" s="527" t="s">
        <v>75</v>
      </c>
      <c r="H138" s="527"/>
      <c r="I138" s="527"/>
      <c r="J138" s="225"/>
      <c r="K138" s="224"/>
      <c r="M138" s="527"/>
      <c r="N138" s="527"/>
      <c r="O138" s="18"/>
      <c r="P138" s="17"/>
    </row>
    <row r="139" spans="1:16" s="239" customFormat="1" ht="13" customHeight="1">
      <c r="A139" s="224"/>
      <c r="B139" s="17"/>
      <c r="C139" s="25" t="s">
        <v>122</v>
      </c>
      <c r="D139" s="26">
        <f>D138/D137</f>
        <v>7.2206230188620171E-2</v>
      </c>
      <c r="E139" s="520" t="s">
        <v>7</v>
      </c>
      <c r="F139" s="27"/>
      <c r="G139" s="24" t="s">
        <v>46</v>
      </c>
      <c r="H139" s="527"/>
      <c r="I139" s="527"/>
      <c r="J139" s="225"/>
      <c r="K139" s="224"/>
      <c r="M139" s="527"/>
      <c r="N139" s="527"/>
      <c r="O139" s="18"/>
      <c r="P139" s="17"/>
    </row>
    <row r="140" spans="1:16" s="239" customFormat="1" ht="5.9" customHeight="1">
      <c r="A140" s="228"/>
      <c r="B140" s="242"/>
      <c r="C140" s="242"/>
      <c r="D140" s="242"/>
      <c r="E140" s="242"/>
      <c r="F140" s="242"/>
      <c r="G140" s="242"/>
      <c r="H140" s="242"/>
      <c r="I140" s="242"/>
      <c r="J140" s="242"/>
      <c r="K140" s="228"/>
    </row>
    <row r="141" spans="1:16" s="239" customFormat="1" ht="13" customHeight="1">
      <c r="A141" s="224"/>
      <c r="B141" s="233" t="s">
        <v>8</v>
      </c>
      <c r="C141" s="19"/>
      <c r="D141" s="19"/>
      <c r="E141" s="17"/>
      <c r="F141" s="17"/>
      <c r="G141" s="527"/>
      <c r="H141" s="527"/>
      <c r="I141" s="527"/>
      <c r="J141" s="225"/>
      <c r="K141" s="224"/>
      <c r="M141" s="527"/>
      <c r="N141" s="527"/>
      <c r="O141" s="18"/>
      <c r="P141" s="17"/>
    </row>
    <row r="142" spans="1:16" s="239" customFormat="1" ht="14.25" customHeight="1">
      <c r="A142" s="224"/>
      <c r="B142" s="17"/>
      <c r="C142" s="527" t="s">
        <v>78</v>
      </c>
      <c r="D142" s="21">
        <f>INDEX(Tragwerk!B41:D41,1,MATCH(Eingabe!$C$4,Tragwerk!$B$14:$D$14))</f>
        <v>80.007519646593167</v>
      </c>
      <c r="E142" s="19" t="s">
        <v>2</v>
      </c>
      <c r="F142" s="17"/>
      <c r="G142" s="527" t="s">
        <v>1324</v>
      </c>
      <c r="H142" s="527"/>
      <c r="I142" s="527"/>
      <c r="J142" s="225"/>
      <c r="K142" s="224"/>
      <c r="M142" s="527"/>
      <c r="N142" s="527"/>
      <c r="O142" s="18"/>
      <c r="P142" s="17"/>
    </row>
    <row r="143" spans="1:16" s="239" customFormat="1" ht="14.25" customHeight="1">
      <c r="A143" s="224"/>
      <c r="B143" s="17"/>
      <c r="C143" s="527" t="s">
        <v>79</v>
      </c>
      <c r="D143" s="19">
        <f>INDEX(Tragwerk!B42:D42,1,MATCH(Eingabe!$C$4,Tragwerk!$B$14:$D$14))</f>
        <v>176400</v>
      </c>
      <c r="E143" s="19" t="s">
        <v>16</v>
      </c>
      <c r="F143" s="17"/>
      <c r="G143" s="527" t="s">
        <v>1324</v>
      </c>
      <c r="H143" s="527"/>
      <c r="I143" s="527"/>
      <c r="J143" s="225"/>
      <c r="K143" s="224"/>
      <c r="M143" s="527"/>
      <c r="N143" s="527"/>
      <c r="O143" s="18"/>
      <c r="P143" s="17"/>
    </row>
    <row r="144" spans="1:16" s="239" customFormat="1" ht="13" customHeight="1">
      <c r="A144" s="224"/>
      <c r="B144" s="17"/>
      <c r="C144" s="527" t="s">
        <v>80</v>
      </c>
      <c r="D144" s="19">
        <f>INDEX(Tragwerk!B43:D43,1,MATCH(Eingabe!$C$4,Tragwerk!$B$14:$D$14))</f>
        <v>142800</v>
      </c>
      <c r="E144" s="19" t="s">
        <v>16</v>
      </c>
      <c r="F144" s="17"/>
      <c r="G144" s="527" t="s">
        <v>1324</v>
      </c>
      <c r="H144" s="527"/>
      <c r="I144" s="527"/>
      <c r="J144" s="225"/>
      <c r="K144" s="224"/>
      <c r="M144" s="527"/>
      <c r="N144" s="527"/>
      <c r="O144" s="18"/>
      <c r="P144" s="17"/>
    </row>
    <row r="145" spans="1:16" s="239" customFormat="1" ht="13" customHeight="1">
      <c r="A145" s="224"/>
      <c r="B145" s="17"/>
      <c r="C145" s="23" t="s">
        <v>81</v>
      </c>
      <c r="D145" s="21">
        <f>INDEX(Tragwerk!B44:D44,1,MATCH(Eingabe!$C$4,Tragwerk!$B$14:$D$14))</f>
        <v>1</v>
      </c>
      <c r="E145" s="19" t="s">
        <v>7</v>
      </c>
      <c r="F145" s="17"/>
      <c r="G145" s="527" t="s">
        <v>1324</v>
      </c>
      <c r="H145" s="527"/>
      <c r="I145" s="527"/>
      <c r="J145" s="225"/>
      <c r="K145" s="224"/>
      <c r="M145" s="527"/>
      <c r="N145" s="527"/>
      <c r="O145" s="18"/>
      <c r="P145" s="17"/>
    </row>
    <row r="146" spans="1:16" s="239" customFormat="1" ht="13" customHeight="1">
      <c r="A146" s="224"/>
      <c r="B146" s="17"/>
      <c r="C146" s="23" t="s">
        <v>82</v>
      </c>
      <c r="D146" s="21">
        <f>INDEX(Tragwerk!B45:D45,1,MATCH(Eingabe!$C$4,Tragwerk!$B$14:$D$14))</f>
        <v>1</v>
      </c>
      <c r="E146" s="19" t="s">
        <v>7</v>
      </c>
      <c r="F146" s="17"/>
      <c r="G146" s="527" t="s">
        <v>1324</v>
      </c>
      <c r="H146" s="527"/>
      <c r="I146" s="527"/>
      <c r="J146" s="225"/>
      <c r="K146" s="224"/>
      <c r="M146" s="527"/>
      <c r="N146" s="527"/>
      <c r="O146" s="18"/>
      <c r="P146" s="17"/>
    </row>
    <row r="147" spans="1:16" s="239" customFormat="1" ht="13" customHeight="1">
      <c r="A147" s="224"/>
      <c r="B147" s="17"/>
      <c r="C147" s="23" t="s">
        <v>83</v>
      </c>
      <c r="D147" s="21">
        <f>INDEX(Tragwerk!B46:D46,1,MATCH(Eingabe!$C$4,Tragwerk!$B$14:$D$14))</f>
        <v>1</v>
      </c>
      <c r="E147" s="19" t="s">
        <v>7</v>
      </c>
      <c r="F147" s="17"/>
      <c r="G147" s="527" t="s">
        <v>1324</v>
      </c>
      <c r="H147" s="527"/>
      <c r="I147" s="527"/>
      <c r="J147" s="225"/>
      <c r="K147" s="224"/>
      <c r="M147" s="527"/>
      <c r="N147" s="527"/>
      <c r="O147" s="18"/>
      <c r="P147" s="17"/>
    </row>
    <row r="148" spans="1:16" s="239" customFormat="1" ht="13" customHeight="1">
      <c r="A148" s="224"/>
      <c r="B148" s="17"/>
      <c r="C148" s="527" t="s">
        <v>77</v>
      </c>
      <c r="D148" s="21">
        <f>INDEX(Tragwerk!B48:D48,1,MATCH(Eingabe!$C$4,Tragwerk!$B$14:$D$14))</f>
        <v>64.767992094861128</v>
      </c>
      <c r="E148" s="19" t="s">
        <v>2</v>
      </c>
      <c r="F148" s="17"/>
      <c r="G148" s="527" t="s">
        <v>1324</v>
      </c>
      <c r="H148" s="527"/>
      <c r="I148" s="527"/>
      <c r="J148" s="225"/>
      <c r="K148" s="224"/>
      <c r="M148" s="526"/>
      <c r="N148" s="274"/>
      <c r="O148" s="18"/>
      <c r="P148" s="217"/>
    </row>
    <row r="149" spans="1:16" s="239" customFormat="1" ht="13" customHeight="1">
      <c r="A149" s="224"/>
      <c r="B149" s="17"/>
      <c r="C149" s="17" t="s">
        <v>12</v>
      </c>
      <c r="D149" s="21">
        <f>Tragwerk!$B$49</f>
        <v>1.2</v>
      </c>
      <c r="E149" s="19" t="s">
        <v>7</v>
      </c>
      <c r="F149" s="17"/>
      <c r="G149" s="527" t="s">
        <v>1324</v>
      </c>
      <c r="H149" s="527"/>
      <c r="I149" s="527"/>
      <c r="J149" s="225"/>
      <c r="K149" s="224"/>
      <c r="M149" s="526"/>
      <c r="N149" s="274"/>
      <c r="O149" s="18"/>
      <c r="P149" s="217"/>
    </row>
    <row r="150" spans="1:16" s="239" customFormat="1" ht="13" customHeight="1">
      <c r="A150" s="224"/>
      <c r="B150" s="17"/>
      <c r="C150" s="527" t="s">
        <v>71</v>
      </c>
      <c r="D150" s="21">
        <f>INDEX(Tragwerk!B50:D50,1,MATCH(Eingabe!$C$4,Tragwerk!$B$14:$D$14))</f>
        <v>53.973326745717607</v>
      </c>
      <c r="E150" s="19" t="s">
        <v>2</v>
      </c>
      <c r="F150" s="17"/>
      <c r="G150" s="527" t="s">
        <v>73</v>
      </c>
      <c r="H150" s="527"/>
      <c r="I150" s="527"/>
      <c r="J150" s="225"/>
      <c r="K150" s="224"/>
      <c r="M150" s="526"/>
      <c r="N150" s="274"/>
      <c r="O150" s="18"/>
      <c r="P150" s="217"/>
    </row>
    <row r="151" spans="1:16" s="239" customFormat="1" ht="13" customHeight="1">
      <c r="A151" s="224"/>
      <c r="B151" s="17"/>
      <c r="C151" s="527" t="s">
        <v>302</v>
      </c>
      <c r="D151" s="21">
        <f>Tragwerk!$B$60</f>
        <v>4.2779482683033754</v>
      </c>
      <c r="E151" s="19" t="s">
        <v>2</v>
      </c>
      <c r="F151" s="17"/>
      <c r="G151" s="527" t="s">
        <v>75</v>
      </c>
      <c r="H151" s="527"/>
      <c r="I151" s="527"/>
      <c r="J151" s="225"/>
      <c r="K151" s="224"/>
      <c r="M151" s="526"/>
      <c r="N151" s="274"/>
      <c r="O151" s="18"/>
      <c r="P151" s="217"/>
    </row>
    <row r="152" spans="1:16" s="239" customFormat="1" ht="13" customHeight="1">
      <c r="A152" s="224"/>
      <c r="B152" s="17"/>
      <c r="C152" s="25" t="s">
        <v>89</v>
      </c>
      <c r="D152" s="26">
        <f>D151/D150</f>
        <v>7.9260414842648175E-2</v>
      </c>
      <c r="E152" s="520" t="s">
        <v>7</v>
      </c>
      <c r="F152" s="27"/>
      <c r="G152" s="24" t="s">
        <v>46</v>
      </c>
      <c r="H152" s="527"/>
      <c r="I152" s="527"/>
      <c r="J152" s="225"/>
      <c r="K152" s="224"/>
      <c r="M152" s="527"/>
      <c r="N152" s="527"/>
      <c r="O152" s="18"/>
      <c r="P152" s="17"/>
    </row>
    <row r="153" spans="1:16" s="239" customFormat="1" ht="5.9" customHeight="1">
      <c r="A153" s="4"/>
      <c r="B153" s="240"/>
      <c r="C153" s="240"/>
      <c r="D153" s="240"/>
      <c r="E153" s="240"/>
      <c r="F153" s="240"/>
      <c r="G153" s="240"/>
      <c r="H153" s="240"/>
      <c r="I153" s="240"/>
      <c r="J153" s="240"/>
      <c r="K153" s="4"/>
    </row>
    <row r="154" spans="1:16" s="239" customFormat="1" ht="13" customHeight="1">
      <c r="A154" s="1032" t="s">
        <v>513</v>
      </c>
      <c r="B154" s="1032"/>
      <c r="C154" s="1032"/>
      <c r="D154" s="1032"/>
      <c r="E154" s="1032"/>
      <c r="F154" s="1032"/>
      <c r="G154" s="1032"/>
      <c r="H154" s="1032"/>
      <c r="I154" s="1032"/>
      <c r="J154" s="1032"/>
      <c r="K154" s="520"/>
      <c r="M154" s="527"/>
      <c r="N154" s="527"/>
      <c r="O154" s="18"/>
      <c r="P154" s="17"/>
    </row>
    <row r="155" spans="1:16" s="239" customFormat="1" ht="13" customHeight="1">
      <c r="A155" s="527"/>
      <c r="B155" s="235" t="s">
        <v>120</v>
      </c>
      <c r="C155" s="236"/>
      <c r="D155" s="527"/>
      <c r="E155" s="527"/>
      <c r="F155" s="527"/>
      <c r="G155" s="527"/>
      <c r="H155" s="527"/>
      <c r="I155" s="527"/>
      <c r="J155" s="527"/>
      <c r="K155" s="527"/>
      <c r="M155" s="527"/>
      <c r="N155" s="527"/>
      <c r="O155" s="18"/>
      <c r="P155" s="17"/>
    </row>
    <row r="156" spans="1:16" s="239" customFormat="1" ht="13" customHeight="1">
      <c r="A156" s="527"/>
      <c r="B156" s="17"/>
      <c r="C156" s="527" t="s">
        <v>118</v>
      </c>
      <c r="D156" s="18">
        <f>INDEX(Tragwerk!B65:D65,1,MATCH(Eingabe!$C$4,Tragwerk!$B$14:$D$14))</f>
        <v>760.54326346673008</v>
      </c>
      <c r="E156" s="19" t="s">
        <v>119</v>
      </c>
      <c r="F156" s="17"/>
      <c r="G156" s="527" t="s">
        <v>362</v>
      </c>
      <c r="H156" s="527"/>
      <c r="I156" s="527"/>
      <c r="J156" s="527"/>
      <c r="K156" s="527"/>
      <c r="M156" s="527"/>
      <c r="N156" s="527"/>
      <c r="O156" s="18"/>
      <c r="P156" s="17"/>
    </row>
    <row r="157" spans="1:16" s="239" customFormat="1" ht="13" customHeight="1">
      <c r="A157" s="527"/>
      <c r="B157" s="17"/>
      <c r="C157" s="17" t="s">
        <v>3</v>
      </c>
      <c r="D157" s="21">
        <f>Tragwerk!$B$66</f>
        <v>1.56</v>
      </c>
      <c r="E157" s="19" t="s">
        <v>7</v>
      </c>
      <c r="F157" s="17"/>
      <c r="G157" s="527" t="s">
        <v>359</v>
      </c>
      <c r="H157" s="527"/>
      <c r="I157" s="527"/>
      <c r="J157" s="527"/>
      <c r="K157" s="527"/>
      <c r="M157" s="527"/>
      <c r="N157" s="527"/>
      <c r="O157" s="18"/>
      <c r="P157" s="17"/>
    </row>
    <row r="158" spans="1:16" s="239" customFormat="1" ht="13" customHeight="1">
      <c r="A158" s="527"/>
      <c r="B158" s="17"/>
      <c r="C158" s="527" t="s">
        <v>65</v>
      </c>
      <c r="D158" s="21">
        <f>INDEX(Tragwerk!B67:D67,1,MATCH(Eingabe!$C$4,Tragwerk!$B$14:$D$14))</f>
        <v>30.470483311968351</v>
      </c>
      <c r="E158" s="19" t="s">
        <v>2</v>
      </c>
      <c r="F158" s="17"/>
      <c r="G158" s="527" t="s">
        <v>73</v>
      </c>
      <c r="H158" s="527"/>
      <c r="I158" s="527"/>
      <c r="J158" s="527"/>
      <c r="K158" s="527"/>
      <c r="M158" s="527"/>
      <c r="N158" s="527"/>
      <c r="O158" s="18"/>
      <c r="P158" s="17"/>
    </row>
    <row r="159" spans="1:16" s="239" customFormat="1" ht="13" customHeight="1">
      <c r="A159" s="527"/>
      <c r="B159" s="17"/>
      <c r="C159" s="527" t="s">
        <v>303</v>
      </c>
      <c r="D159" s="21">
        <f>Tragwerk!$B$68</f>
        <v>27.194109375</v>
      </c>
      <c r="E159" s="19" t="s">
        <v>2</v>
      </c>
      <c r="F159" s="17"/>
      <c r="G159" s="527" t="s">
        <v>75</v>
      </c>
      <c r="H159" s="527"/>
      <c r="I159" s="527"/>
      <c r="J159" s="527"/>
      <c r="K159" s="527"/>
      <c r="M159" s="527"/>
      <c r="N159" s="527"/>
      <c r="O159" s="18"/>
      <c r="P159" s="17"/>
    </row>
    <row r="160" spans="1:16" s="239" customFormat="1" ht="13" customHeight="1">
      <c r="A160" s="527"/>
      <c r="B160" s="17"/>
      <c r="C160" s="25" t="s">
        <v>90</v>
      </c>
      <c r="D160" s="26">
        <f>D159/D158</f>
        <v>0.8924738441650697</v>
      </c>
      <c r="E160" s="520" t="s">
        <v>7</v>
      </c>
      <c r="F160" s="27"/>
      <c r="G160" s="24" t="s">
        <v>46</v>
      </c>
      <c r="H160" s="527"/>
      <c r="I160" s="527"/>
      <c r="J160" s="527"/>
      <c r="K160" s="527"/>
      <c r="M160" s="527"/>
      <c r="N160" s="527"/>
      <c r="O160" s="18"/>
      <c r="P160" s="17"/>
    </row>
    <row r="161" spans="1:16" s="239" customFormat="1" ht="6.8" customHeight="1">
      <c r="A161" s="4"/>
      <c r="B161" s="240"/>
      <c r="C161" s="240"/>
      <c r="D161" s="240"/>
      <c r="E161" s="240"/>
      <c r="F161" s="240"/>
      <c r="G161" s="240"/>
      <c r="H161" s="240"/>
      <c r="I161" s="240"/>
      <c r="J161" s="240"/>
      <c r="K161" s="4"/>
    </row>
    <row r="162" spans="1:16" s="239" customFormat="1" ht="13" customHeight="1">
      <c r="A162" s="527"/>
      <c r="B162" s="238" t="s">
        <v>9</v>
      </c>
      <c r="C162" s="17"/>
      <c r="D162" s="17"/>
      <c r="E162" s="17"/>
      <c r="F162" s="527"/>
      <c r="G162" s="527"/>
      <c r="H162" s="527"/>
      <c r="I162" s="527"/>
      <c r="J162" s="527"/>
      <c r="K162" s="225"/>
      <c r="M162" s="527"/>
      <c r="N162" s="527"/>
      <c r="O162" s="18"/>
      <c r="P162" s="17"/>
    </row>
    <row r="163" spans="1:16" s="239" customFormat="1" ht="13" customHeight="1">
      <c r="A163" s="527"/>
      <c r="B163" s="17"/>
      <c r="C163" s="4" t="s">
        <v>10</v>
      </c>
      <c r="D163" s="18">
        <f>Tragwerk!$B$71</f>
        <v>2.5</v>
      </c>
      <c r="E163" s="19" t="s">
        <v>7</v>
      </c>
      <c r="F163" s="17"/>
      <c r="G163" s="17" t="s">
        <v>363</v>
      </c>
      <c r="H163" s="527"/>
      <c r="I163" s="527"/>
      <c r="J163" s="527"/>
      <c r="K163" s="225"/>
      <c r="N163" s="20"/>
      <c r="O163" s="17"/>
      <c r="P163" s="17"/>
    </row>
    <row r="164" spans="1:16" s="239" customFormat="1" ht="13" customHeight="1">
      <c r="A164" s="17"/>
      <c r="B164" s="17"/>
      <c r="C164" s="527" t="s">
        <v>18</v>
      </c>
      <c r="D164" s="18">
        <f>INDEX(Tragwerk!B72:D72,1,MATCH(Eingabe!$C$4,Tragwerk!$B$14:$D$14))</f>
        <v>161.91998023715283</v>
      </c>
      <c r="E164" s="237" t="s">
        <v>2</v>
      </c>
      <c r="F164" s="17"/>
      <c r="G164" s="17" t="s">
        <v>1324</v>
      </c>
      <c r="H164" s="14"/>
      <c r="I164" s="14"/>
      <c r="J164" s="14"/>
      <c r="K164" s="224"/>
    </row>
    <row r="165" spans="1:16" s="239" customFormat="1" ht="13" customHeight="1">
      <c r="A165" s="17"/>
      <c r="B165" s="17"/>
      <c r="C165" s="17" t="s">
        <v>12</v>
      </c>
      <c r="D165" s="21">
        <f>Tragwerk!$B$73</f>
        <v>1.2</v>
      </c>
      <c r="E165" s="19" t="s">
        <v>7</v>
      </c>
      <c r="F165" s="17"/>
      <c r="G165" s="527" t="s">
        <v>1324</v>
      </c>
      <c r="H165" s="527"/>
      <c r="I165" s="18"/>
      <c r="J165" s="17"/>
      <c r="K165" s="224"/>
    </row>
    <row r="166" spans="1:16" s="239" customFormat="1" ht="13" customHeight="1">
      <c r="A166" s="17"/>
      <c r="B166" s="17"/>
      <c r="C166" s="17" t="s">
        <v>72</v>
      </c>
      <c r="D166" s="18">
        <f>INDEX(Tragwerk!B74:D74,1,MATCH(Eingabe!$C$4,Tragwerk!$B$14:$D$14))</f>
        <v>134.93331686429403</v>
      </c>
      <c r="E166" s="19" t="s">
        <v>2</v>
      </c>
      <c r="F166" s="17"/>
      <c r="G166" s="527" t="s">
        <v>73</v>
      </c>
      <c r="H166" s="527"/>
      <c r="I166" s="18"/>
      <c r="J166" s="17"/>
      <c r="K166" s="224"/>
    </row>
    <row r="167" spans="1:16" s="239" customFormat="1" ht="13" customHeight="1">
      <c r="A167" s="17"/>
      <c r="B167" s="17"/>
      <c r="C167" s="527" t="s">
        <v>303</v>
      </c>
      <c r="D167" s="18">
        <f>Tragwerk!$B$91</f>
        <v>54.38821875</v>
      </c>
      <c r="E167" s="19" t="s">
        <v>2</v>
      </c>
      <c r="F167" s="17"/>
      <c r="G167" s="527" t="s">
        <v>75</v>
      </c>
      <c r="H167" s="527"/>
      <c r="I167" s="18"/>
      <c r="J167" s="17"/>
      <c r="K167" s="224"/>
    </row>
    <row r="168" spans="1:16" s="239" customFormat="1" ht="13" customHeight="1">
      <c r="A168" s="17"/>
      <c r="B168" s="17"/>
      <c r="C168" s="25" t="s">
        <v>91</v>
      </c>
      <c r="D168" s="26">
        <f>D167/D166</f>
        <v>0.40307479289714382</v>
      </c>
      <c r="E168" s="520" t="s">
        <v>7</v>
      </c>
      <c r="F168" s="27"/>
      <c r="G168" s="24" t="s">
        <v>46</v>
      </c>
      <c r="H168" s="527"/>
      <c r="I168" s="18"/>
      <c r="J168" s="17"/>
      <c r="K168" s="224"/>
    </row>
    <row r="169" spans="1:16" s="239" customFormat="1" ht="5.9" customHeight="1">
      <c r="A169" s="17"/>
      <c r="B169" s="17"/>
      <c r="C169" s="25"/>
      <c r="D169" s="26"/>
      <c r="E169" s="520"/>
      <c r="F169" s="27"/>
      <c r="G169" s="24"/>
      <c r="H169" s="527"/>
      <c r="I169" s="18"/>
      <c r="J169" s="17"/>
      <c r="K169" s="224"/>
    </row>
    <row r="170" spans="1:16" s="239" customFormat="1" ht="13" customHeight="1">
      <c r="A170" s="17"/>
      <c r="B170" s="238" t="s">
        <v>11</v>
      </c>
      <c r="C170" s="25"/>
      <c r="D170" s="26"/>
      <c r="E170" s="520"/>
      <c r="F170" s="27"/>
      <c r="G170" s="24"/>
      <c r="H170" s="527"/>
      <c r="I170" s="18"/>
      <c r="J170" s="17"/>
      <c r="K170" s="224"/>
    </row>
    <row r="171" spans="1:16" s="239" customFormat="1" ht="13" customHeight="1">
      <c r="A171" s="17"/>
      <c r="B171" s="17"/>
      <c r="C171" s="234" t="s">
        <v>21</v>
      </c>
      <c r="D171" s="450">
        <f>INDEX(Tragwerk!B76:D76,1,MATCH(Eingabe!$C$4,Tragwerk!$B$14:$D$14))</f>
        <v>3.4156502553198659E-2</v>
      </c>
      <c r="E171" s="19" t="s">
        <v>7</v>
      </c>
      <c r="F171" s="27"/>
      <c r="G171" s="527" t="s">
        <v>1324</v>
      </c>
      <c r="H171" s="527"/>
      <c r="I171" s="18"/>
      <c r="J171" s="17"/>
      <c r="K171" s="224"/>
    </row>
    <row r="172" spans="1:16" s="239" customFormat="1" ht="13" customHeight="1">
      <c r="A172" s="17"/>
      <c r="B172" s="17"/>
      <c r="C172" s="234" t="s">
        <v>134</v>
      </c>
      <c r="D172" s="450">
        <f>INDEX(Tragwerk!B77:D77,1,MATCH(Eingabe!$C$4,Tragwerk!$B$14:$D$14))</f>
        <v>4.573050519273264E-2</v>
      </c>
      <c r="E172" s="19" t="s">
        <v>7</v>
      </c>
      <c r="F172" s="27"/>
      <c r="G172" s="527" t="s">
        <v>1324</v>
      </c>
      <c r="H172" s="527"/>
      <c r="I172" s="18"/>
      <c r="J172" s="17"/>
      <c r="K172" s="224"/>
    </row>
    <row r="173" spans="1:16" s="239" customFormat="1" ht="14.25" customHeight="1">
      <c r="A173" s="17"/>
      <c r="B173" s="17"/>
      <c r="C173" s="234" t="s">
        <v>481</v>
      </c>
      <c r="D173" s="18">
        <f>INDEX(Tragwerk!B78:D78,1,MATCH(Eingabe!$C$4,Tragwerk!$B$14:$D$14))</f>
        <v>662.3899818033774</v>
      </c>
      <c r="E173" s="19" t="s">
        <v>2</v>
      </c>
      <c r="F173" s="27"/>
      <c r="G173" s="527" t="s">
        <v>1324</v>
      </c>
      <c r="H173" s="527"/>
      <c r="I173" s="18"/>
      <c r="J173" s="17"/>
      <c r="K173" s="224"/>
    </row>
    <row r="174" spans="1:16" s="239" customFormat="1" ht="15.45" customHeight="1">
      <c r="A174" s="17"/>
      <c r="B174" s="17"/>
      <c r="C174" s="234" t="s">
        <v>482</v>
      </c>
      <c r="D174" s="20">
        <f>INDEX(Tragwerk!B79:D79,1,MATCH(Eingabe!$C$4,Tragwerk!$B$14:$D$14))</f>
        <v>6480000</v>
      </c>
      <c r="E174" s="19" t="s">
        <v>16</v>
      </c>
      <c r="F174" s="27"/>
      <c r="G174" s="527" t="s">
        <v>1324</v>
      </c>
      <c r="H174" s="527"/>
      <c r="I174" s="18"/>
      <c r="J174" s="17"/>
      <c r="K174" s="224"/>
    </row>
    <row r="175" spans="1:16" s="239" customFormat="1" ht="13" customHeight="1">
      <c r="A175" s="17"/>
      <c r="B175" s="17"/>
      <c r="C175" s="234" t="s">
        <v>483</v>
      </c>
      <c r="D175" s="20">
        <f>INDEX(Tragwerk!B80:D80,1,MATCH(Eingabe!$C$4,Tragwerk!$B$14:$D$14))</f>
        <v>720000</v>
      </c>
      <c r="E175" s="19" t="s">
        <v>16</v>
      </c>
      <c r="F175" s="27"/>
      <c r="G175" s="527" t="s">
        <v>1324</v>
      </c>
      <c r="H175" s="527"/>
      <c r="I175" s="18"/>
      <c r="J175" s="17"/>
      <c r="K175" s="224"/>
    </row>
    <row r="176" spans="1:16" s="239" customFormat="1" ht="13" customHeight="1">
      <c r="A176" s="17"/>
      <c r="B176" s="17"/>
      <c r="C176" s="234" t="s">
        <v>485</v>
      </c>
      <c r="D176" s="21">
        <f>INDEX(Tragwerk!B82:D82,1,MATCH(Eingabe!$C$4,Tragwerk!$B$14:$D$14))</f>
        <v>3</v>
      </c>
      <c r="E176" s="19" t="s">
        <v>7</v>
      </c>
      <c r="F176" s="27"/>
      <c r="G176" s="527" t="s">
        <v>1324</v>
      </c>
      <c r="H176" s="527"/>
      <c r="I176" s="18"/>
      <c r="J176" s="17"/>
      <c r="K176" s="224"/>
    </row>
    <row r="177" spans="1:12" s="239" customFormat="1" ht="13" customHeight="1">
      <c r="A177" s="17"/>
      <c r="B177" s="17"/>
      <c r="C177" s="234" t="s">
        <v>488</v>
      </c>
      <c r="D177" s="21">
        <f>Tragwerk!B85</f>
        <v>1.2</v>
      </c>
      <c r="E177" s="19" t="s">
        <v>7</v>
      </c>
      <c r="F177" s="27"/>
      <c r="G177" s="527" t="s">
        <v>1324</v>
      </c>
      <c r="H177" s="527"/>
      <c r="I177" s="18"/>
      <c r="J177" s="17"/>
      <c r="K177" s="224"/>
    </row>
    <row r="178" spans="1:12" s="239" customFormat="1" ht="13" customHeight="1">
      <c r="A178" s="17"/>
      <c r="B178" s="17"/>
      <c r="C178" s="234" t="s">
        <v>489</v>
      </c>
      <c r="D178" s="21">
        <f>INDEX(Tragwerk!B86:D86,1,MATCH(Eingabe!$C$4,Tragwerk!$B$14:$D$14))</f>
        <v>264.95599272135092</v>
      </c>
      <c r="E178" s="19" t="s">
        <v>2</v>
      </c>
      <c r="F178" s="27"/>
      <c r="G178" s="527" t="s">
        <v>1324</v>
      </c>
      <c r="H178" s="527"/>
      <c r="I178" s="18"/>
      <c r="J178" s="17"/>
      <c r="K178" s="224"/>
    </row>
    <row r="179" spans="1:12" s="239" customFormat="1" ht="13" customHeight="1">
      <c r="A179" s="17"/>
      <c r="B179" s="17"/>
      <c r="C179" s="234" t="s">
        <v>12</v>
      </c>
      <c r="D179" s="21">
        <f>Tragwerk!B87</f>
        <v>1.2</v>
      </c>
      <c r="E179" s="19" t="s">
        <v>7</v>
      </c>
      <c r="F179" s="27"/>
      <c r="G179" s="527" t="s">
        <v>1324</v>
      </c>
      <c r="H179" s="527"/>
      <c r="I179" s="18"/>
      <c r="J179" s="17"/>
      <c r="K179" s="224"/>
    </row>
    <row r="180" spans="1:12" s="239" customFormat="1" ht="13" customHeight="1">
      <c r="A180" s="17"/>
      <c r="B180" s="17"/>
      <c r="C180" s="234" t="s">
        <v>507</v>
      </c>
      <c r="D180" s="21">
        <f>INDEX(Tragwerk!B88:D88,1,MATCH(Eingabe!$C$4,Tragwerk!$B$14:$D$14))</f>
        <v>220.79666060112578</v>
      </c>
      <c r="E180" s="19" t="s">
        <v>2</v>
      </c>
      <c r="F180" s="27"/>
      <c r="G180" s="527" t="s">
        <v>73</v>
      </c>
      <c r="H180" s="527"/>
      <c r="I180" s="18"/>
      <c r="J180" s="17"/>
      <c r="K180" s="224"/>
    </row>
    <row r="181" spans="1:12" s="239" customFormat="1" ht="13" customHeight="1">
      <c r="A181" s="17"/>
      <c r="B181" s="17"/>
      <c r="C181" s="527" t="s">
        <v>303</v>
      </c>
      <c r="D181" s="21">
        <f>Tragwerk!B91</f>
        <v>54.38821875</v>
      </c>
      <c r="E181" s="19" t="s">
        <v>2</v>
      </c>
      <c r="F181" s="27"/>
      <c r="G181" s="527" t="s">
        <v>75</v>
      </c>
      <c r="H181" s="527"/>
      <c r="I181" s="18"/>
      <c r="J181" s="17"/>
      <c r="K181" s="224"/>
    </row>
    <row r="182" spans="1:12" s="239" customFormat="1" ht="13" customHeight="1">
      <c r="A182" s="17"/>
      <c r="B182" s="17"/>
      <c r="C182" s="25" t="s">
        <v>508</v>
      </c>
      <c r="D182" s="26">
        <f>D181/D180</f>
        <v>0.24632717995791414</v>
      </c>
      <c r="E182" s="520" t="s">
        <v>7</v>
      </c>
      <c r="F182" s="27"/>
      <c r="G182" s="24" t="s">
        <v>46</v>
      </c>
      <c r="H182" s="527"/>
      <c r="I182" s="18"/>
      <c r="J182" s="17"/>
      <c r="K182" s="224"/>
    </row>
    <row r="183" spans="1:12" s="239" customFormat="1" ht="5.9" customHeight="1">
      <c r="A183" s="4"/>
      <c r="B183" s="240"/>
      <c r="C183" s="240"/>
      <c r="D183" s="240"/>
      <c r="E183" s="240"/>
      <c r="F183" s="240"/>
      <c r="G183" s="240"/>
      <c r="H183" s="240"/>
      <c r="I183" s="240"/>
      <c r="J183" s="240"/>
      <c r="K183" s="228"/>
    </row>
    <row r="184" spans="1:12" s="239" customFormat="1" ht="13" customHeight="1">
      <c r="A184" s="1032" t="s">
        <v>517</v>
      </c>
      <c r="B184" s="1032"/>
      <c r="C184" s="1032"/>
      <c r="D184" s="1032"/>
      <c r="E184" s="1032"/>
      <c r="F184" s="1032"/>
      <c r="G184" s="1032"/>
      <c r="H184" s="1032"/>
      <c r="I184" s="1032"/>
      <c r="J184" s="1032"/>
      <c r="K184" s="520"/>
    </row>
    <row r="185" spans="1:12" s="239" customFormat="1" ht="6.8" customHeight="1">
      <c r="A185" s="17"/>
      <c r="B185" s="17"/>
      <c r="C185" s="23"/>
      <c r="D185" s="18"/>
      <c r="E185" s="19"/>
      <c r="F185" s="17"/>
      <c r="G185" s="527"/>
      <c r="H185" s="20"/>
      <c r="I185" s="17"/>
      <c r="J185" s="17"/>
      <c r="K185" s="17"/>
    </row>
    <row r="186" spans="1:12" s="239" customFormat="1" ht="13" customHeight="1">
      <c r="A186" s="17"/>
      <c r="B186" s="17"/>
      <c r="C186" s="23" t="s">
        <v>85</v>
      </c>
      <c r="D186" s="21">
        <f>INDEX(Tragwerk!B96:D96,1,MATCH(Eingabe!$C$4,Tragwerk!$B$14:$D$14))</f>
        <v>7.9260414842648175E-2</v>
      </c>
      <c r="E186" s="19" t="s">
        <v>7</v>
      </c>
      <c r="F186" s="17"/>
      <c r="G186" s="527" t="s">
        <v>515</v>
      </c>
      <c r="H186" s="20"/>
      <c r="I186" s="17"/>
      <c r="J186" s="17"/>
      <c r="K186" s="17"/>
    </row>
    <row r="187" spans="1:12" s="239" customFormat="1" ht="13" customHeight="1">
      <c r="A187" s="17"/>
      <c r="B187" s="17"/>
      <c r="C187" s="23" t="s">
        <v>87</v>
      </c>
      <c r="D187" s="21">
        <f>INDEX(Tragwerk!B97:D97,1,MATCH(Eingabe!$C$4,Tragwerk!$B$14:$D$14))</f>
        <v>0.8924738441650697</v>
      </c>
      <c r="E187" s="19" t="s">
        <v>7</v>
      </c>
      <c r="F187" s="17"/>
      <c r="G187" s="527" t="s">
        <v>519</v>
      </c>
      <c r="H187" s="20"/>
      <c r="I187" s="17"/>
      <c r="J187" s="17"/>
      <c r="K187" s="17"/>
    </row>
    <row r="188" spans="1:12" s="239" customFormat="1" ht="1.1499999999999999" customHeight="1">
      <c r="A188" s="17"/>
      <c r="B188" s="17"/>
      <c r="C188" s="23"/>
      <c r="D188" s="18"/>
      <c r="E188" s="19"/>
      <c r="F188" s="17"/>
      <c r="G188" s="17"/>
      <c r="H188" s="20"/>
      <c r="I188" s="17"/>
      <c r="J188" s="17"/>
      <c r="K188" s="17"/>
    </row>
    <row r="189" spans="1:12" s="239" customFormat="1" ht="13" customHeight="1">
      <c r="A189" s="17"/>
      <c r="B189" s="17"/>
      <c r="C189" s="25" t="s">
        <v>548</v>
      </c>
      <c r="D189" s="26">
        <f>INDEX(Tragwerk!B99:D99,1,MATCH(Eingabe!$C$4,Tragwerk!$B$14:$D$14))</f>
        <v>0.80977854917309822</v>
      </c>
      <c r="E189" s="520" t="s">
        <v>7</v>
      </c>
      <c r="F189" s="27"/>
      <c r="G189" s="27" t="s">
        <v>1324</v>
      </c>
      <c r="H189" s="20"/>
      <c r="I189" s="17"/>
      <c r="J189" s="17"/>
      <c r="K189" s="17"/>
    </row>
    <row r="190" spans="1:12" s="239" customFormat="1" ht="6.8" customHeight="1">
      <c r="A190" s="224"/>
      <c r="B190" s="224"/>
      <c r="C190" s="231"/>
      <c r="D190" s="229"/>
      <c r="E190" s="227"/>
      <c r="F190" s="224"/>
      <c r="G190" s="225"/>
      <c r="H190" s="230"/>
      <c r="I190" s="224"/>
      <c r="J190" s="224"/>
      <c r="K190" s="224"/>
    </row>
    <row r="191" spans="1:12" s="239" customFormat="1" ht="14.15" customHeight="1">
      <c r="A191" s="1033" t="s">
        <v>308</v>
      </c>
      <c r="B191" s="1033"/>
      <c r="C191" s="1033"/>
      <c r="D191" s="1033"/>
      <c r="E191" s="1033"/>
      <c r="F191" s="1033"/>
      <c r="G191" s="1033"/>
      <c r="H191" s="1033"/>
      <c r="I191" s="1033"/>
      <c r="J191" s="1033"/>
      <c r="K191" s="502"/>
      <c r="L191" s="243"/>
    </row>
    <row r="192" spans="1:12" s="239" customFormat="1" ht="6.8" customHeight="1">
      <c r="A192" s="228"/>
      <c r="B192" s="242"/>
      <c r="C192" s="242"/>
      <c r="D192" s="242"/>
      <c r="E192" s="242"/>
      <c r="F192" s="242"/>
      <c r="G192" s="242"/>
      <c r="H192" s="242"/>
      <c r="I192" s="242"/>
      <c r="J192" s="242"/>
      <c r="K192" s="228"/>
    </row>
    <row r="193" spans="1:11" s="239" customFormat="1" ht="13" customHeight="1">
      <c r="A193" s="1032" t="s">
        <v>514</v>
      </c>
      <c r="B193" s="1032"/>
      <c r="C193" s="1032"/>
      <c r="D193" s="1032"/>
      <c r="E193" s="1032"/>
      <c r="F193" s="1032"/>
      <c r="G193" s="1032"/>
      <c r="H193" s="1032"/>
      <c r="I193" s="1032"/>
      <c r="J193" s="1032"/>
      <c r="K193" s="520"/>
    </row>
    <row r="194" spans="1:11" s="239" customFormat="1" ht="13" customHeight="1">
      <c r="A194" s="17"/>
      <c r="B194" s="14" t="s">
        <v>1</v>
      </c>
      <c r="C194" s="232"/>
      <c r="D194" s="232"/>
      <c r="E194" s="232"/>
      <c r="F194" s="17"/>
      <c r="G194" s="527"/>
      <c r="H194" s="527"/>
      <c r="I194" s="527"/>
      <c r="J194" s="527"/>
      <c r="K194" s="17"/>
    </row>
    <row r="195" spans="1:11" s="239" customFormat="1" ht="13" customHeight="1">
      <c r="A195" s="17"/>
      <c r="B195" s="17"/>
      <c r="C195" s="527" t="s">
        <v>4</v>
      </c>
      <c r="D195" s="21">
        <f>INDEX(Kappe!B17:D17,1,MATCH(Eingabe!$C$4,Kappe!$B$12:$D$12))</f>
        <v>247</v>
      </c>
      <c r="E195" s="19" t="s">
        <v>2</v>
      </c>
      <c r="F195" s="17"/>
      <c r="G195" s="527" t="s">
        <v>1552</v>
      </c>
      <c r="H195" s="527"/>
      <c r="I195" s="527"/>
      <c r="J195" s="527"/>
      <c r="K195" s="17"/>
    </row>
    <row r="196" spans="1:11" s="239" customFormat="1" ht="13" customHeight="1">
      <c r="A196" s="17"/>
      <c r="B196" s="17"/>
      <c r="C196" s="17" t="s">
        <v>3</v>
      </c>
      <c r="D196" s="21">
        <f>Kappe!$B$18</f>
        <v>1.87</v>
      </c>
      <c r="E196" s="19" t="s">
        <v>7</v>
      </c>
      <c r="F196" s="17"/>
      <c r="G196" s="527" t="s">
        <v>359</v>
      </c>
      <c r="H196" s="527"/>
      <c r="I196" s="527"/>
      <c r="J196" s="527"/>
      <c r="K196" s="17"/>
    </row>
    <row r="197" spans="1:11" s="239" customFormat="1" ht="13" customHeight="1">
      <c r="A197" s="17"/>
      <c r="B197" s="17"/>
      <c r="C197" s="527" t="s">
        <v>64</v>
      </c>
      <c r="D197" s="21">
        <f>INDEX(Kappe!B19:D19,1,MATCH(Eingabe!$C$4,Kappe!$B$12:$D$12))</f>
        <v>132.08556149732618</v>
      </c>
      <c r="E197" s="19" t="s">
        <v>2</v>
      </c>
      <c r="F197" s="17"/>
      <c r="G197" s="527" t="s">
        <v>73</v>
      </c>
      <c r="H197" s="527"/>
      <c r="I197" s="527"/>
      <c r="J197" s="527"/>
      <c r="K197" s="17"/>
    </row>
    <row r="198" spans="1:11" s="239" customFormat="1" ht="13" customHeight="1">
      <c r="A198" s="17"/>
      <c r="B198" s="17"/>
      <c r="C198" s="527" t="s">
        <v>302</v>
      </c>
      <c r="D198" s="21">
        <f>Kappe!$B$53</f>
        <v>4.2779482683033754</v>
      </c>
      <c r="E198" s="19" t="s">
        <v>2</v>
      </c>
      <c r="F198" s="17"/>
      <c r="G198" s="527" t="s">
        <v>75</v>
      </c>
      <c r="H198" s="527"/>
      <c r="I198" s="527"/>
      <c r="J198" s="527"/>
      <c r="K198" s="17"/>
    </row>
    <row r="199" spans="1:11" s="239" customFormat="1" ht="13" customHeight="1">
      <c r="A199" s="17"/>
      <c r="B199" s="17"/>
      <c r="C199" s="25" t="s">
        <v>88</v>
      </c>
      <c r="D199" s="26">
        <f>D198/D197</f>
        <v>3.2387705513066044E-2</v>
      </c>
      <c r="E199" s="520" t="s">
        <v>7</v>
      </c>
      <c r="F199" s="27"/>
      <c r="G199" s="24" t="s">
        <v>46</v>
      </c>
      <c r="H199" s="527"/>
      <c r="I199" s="527"/>
      <c r="J199" s="527"/>
      <c r="K199" s="17"/>
    </row>
    <row r="200" spans="1:11" s="239" customFormat="1" ht="6.8" customHeight="1">
      <c r="A200" s="4"/>
      <c r="B200" s="240"/>
      <c r="C200" s="240"/>
      <c r="D200" s="240"/>
      <c r="E200" s="240"/>
      <c r="F200" s="240"/>
      <c r="G200" s="240"/>
      <c r="H200" s="240"/>
      <c r="I200" s="240"/>
      <c r="J200" s="240"/>
      <c r="K200" s="4"/>
    </row>
    <row r="201" spans="1:11" s="239" customFormat="1" ht="13" customHeight="1">
      <c r="A201" s="224"/>
      <c r="B201" s="233" t="s">
        <v>5</v>
      </c>
      <c r="C201" s="19"/>
      <c r="D201" s="19"/>
      <c r="E201" s="17"/>
      <c r="F201" s="17"/>
      <c r="G201" s="527"/>
      <c r="H201" s="527"/>
      <c r="I201" s="527"/>
      <c r="J201" s="225"/>
      <c r="K201" s="224"/>
    </row>
    <row r="202" spans="1:11" s="239" customFormat="1" ht="13" customHeight="1">
      <c r="A202" s="224"/>
      <c r="B202" s="233"/>
      <c r="C202" s="234" t="s">
        <v>115</v>
      </c>
      <c r="D202" s="18">
        <f>INDEX(Kappe!B21:D21,1,MATCH(Eingabe!$C$4,Kappe!$B$12:$D$12))</f>
        <v>565</v>
      </c>
      <c r="E202" s="19" t="s">
        <v>16</v>
      </c>
      <c r="F202" s="17"/>
      <c r="G202" s="527" t="s">
        <v>137</v>
      </c>
      <c r="H202" s="527"/>
      <c r="I202" s="527"/>
      <c r="J202" s="225"/>
      <c r="K202" s="224"/>
    </row>
    <row r="203" spans="1:11" s="239" customFormat="1" ht="13" customHeight="1">
      <c r="A203" s="224"/>
      <c r="B203" s="233"/>
      <c r="C203" s="666" t="s">
        <v>1152</v>
      </c>
      <c r="D203" s="669">
        <f>Eingabe!N3</f>
        <v>1</v>
      </c>
      <c r="E203" s="19" t="s">
        <v>7</v>
      </c>
      <c r="F203" s="17"/>
      <c r="G203" s="527" t="s">
        <v>1151</v>
      </c>
      <c r="H203" s="527"/>
      <c r="I203" s="527"/>
      <c r="J203" s="225"/>
      <c r="K203" s="224"/>
    </row>
    <row r="204" spans="1:11" s="239" customFormat="1" ht="13" customHeight="1">
      <c r="A204" s="224"/>
      <c r="B204" s="233"/>
      <c r="C204" s="234" t="s">
        <v>6</v>
      </c>
      <c r="D204" s="21">
        <f>INDEX(Kappe!B22:D22,1,MATCH(Eingabe!$C$4,Kappe!$B$12:$D$12))</f>
        <v>101.7</v>
      </c>
      <c r="E204" s="19" t="s">
        <v>2</v>
      </c>
      <c r="F204" s="17"/>
      <c r="G204" s="527" t="s">
        <v>1324</v>
      </c>
      <c r="H204" s="527"/>
      <c r="I204" s="527"/>
      <c r="J204" s="225"/>
      <c r="K204" s="224"/>
    </row>
    <row r="205" spans="1:11" s="239" customFormat="1" ht="13" customHeight="1">
      <c r="A205" s="224"/>
      <c r="B205" s="233"/>
      <c r="C205" s="234" t="s">
        <v>108</v>
      </c>
      <c r="D205" s="18">
        <f>Kappe!B23</f>
        <v>1.2</v>
      </c>
      <c r="E205" s="19" t="s">
        <v>7</v>
      </c>
      <c r="F205" s="17"/>
      <c r="G205" s="527" t="s">
        <v>1324</v>
      </c>
      <c r="H205" s="527"/>
      <c r="I205" s="527"/>
      <c r="J205" s="225"/>
      <c r="K205" s="224"/>
    </row>
    <row r="206" spans="1:11" s="239" customFormat="1" ht="13" customHeight="1">
      <c r="A206" s="224"/>
      <c r="B206" s="233"/>
      <c r="C206" s="234" t="s">
        <v>123</v>
      </c>
      <c r="D206" s="21">
        <f>INDEX(Kappe!B24:D24,1,MATCH(Eingabe!$C$4,Kappe!$B$12:$D$12))</f>
        <v>84.75</v>
      </c>
      <c r="E206" s="19" t="s">
        <v>2</v>
      </c>
      <c r="F206" s="17"/>
      <c r="G206" s="527" t="s">
        <v>73</v>
      </c>
      <c r="H206" s="527"/>
      <c r="I206" s="527"/>
      <c r="J206" s="225"/>
      <c r="K206" s="224"/>
    </row>
    <row r="207" spans="1:11" s="239" customFormat="1" ht="13" customHeight="1">
      <c r="A207" s="224"/>
      <c r="B207" s="233"/>
      <c r="C207" s="527" t="s">
        <v>302</v>
      </c>
      <c r="D207" s="21">
        <f>Kappe!$B$53</f>
        <v>4.2779482683033754</v>
      </c>
      <c r="E207" s="19" t="s">
        <v>2</v>
      </c>
      <c r="F207" s="17"/>
      <c r="G207" s="527" t="s">
        <v>75</v>
      </c>
      <c r="H207" s="527"/>
      <c r="I207" s="527"/>
      <c r="J207" s="225"/>
      <c r="K207" s="224"/>
    </row>
    <row r="208" spans="1:11" s="239" customFormat="1" ht="13" customHeight="1">
      <c r="A208" s="224"/>
      <c r="B208" s="17"/>
      <c r="C208" s="25" t="s">
        <v>122</v>
      </c>
      <c r="D208" s="26">
        <f>D207/D206</f>
        <v>5.0477265702694694E-2</v>
      </c>
      <c r="E208" s="520" t="s">
        <v>7</v>
      </c>
      <c r="F208" s="27"/>
      <c r="G208" s="24" t="s">
        <v>46</v>
      </c>
      <c r="H208" s="527"/>
      <c r="I208" s="527"/>
      <c r="J208" s="225"/>
      <c r="K208" s="224"/>
    </row>
    <row r="209" spans="1:11" s="239" customFormat="1" ht="6.8" customHeight="1">
      <c r="A209" s="228"/>
      <c r="B209" s="242"/>
      <c r="C209" s="242"/>
      <c r="D209" s="242"/>
      <c r="E209" s="242"/>
      <c r="F209" s="242"/>
      <c r="G209" s="242"/>
      <c r="H209" s="242"/>
      <c r="I209" s="242"/>
      <c r="J209" s="242"/>
      <c r="K209" s="228"/>
    </row>
    <row r="210" spans="1:11" s="239" customFormat="1" ht="13" customHeight="1">
      <c r="A210" s="224"/>
      <c r="B210" s="233" t="s">
        <v>8</v>
      </c>
      <c r="C210" s="19"/>
      <c r="D210" s="19"/>
      <c r="E210" s="17"/>
      <c r="F210" s="17"/>
      <c r="G210" s="527"/>
      <c r="H210" s="527"/>
      <c r="I210" s="527"/>
      <c r="J210" s="225"/>
      <c r="K210" s="224"/>
    </row>
    <row r="211" spans="1:11" s="239" customFormat="1" ht="14.25" customHeight="1">
      <c r="A211" s="224"/>
      <c r="B211" s="17"/>
      <c r="C211" s="527" t="s">
        <v>78</v>
      </c>
      <c r="D211" s="21">
        <f>INDEX(Kappe!B27:D27,1,MATCH(Eingabe!$C$4,Kappe!$B$12:$D$12))</f>
        <v>30.846077222233625</v>
      </c>
      <c r="E211" s="19" t="s">
        <v>2</v>
      </c>
      <c r="F211" s="17"/>
      <c r="G211" s="527" t="s">
        <v>1324</v>
      </c>
      <c r="H211" s="527"/>
      <c r="I211" s="527"/>
      <c r="J211" s="225"/>
      <c r="K211" s="224"/>
    </row>
    <row r="212" spans="1:11" s="239" customFormat="1" ht="14.25" customHeight="1">
      <c r="A212" s="224"/>
      <c r="B212" s="17"/>
      <c r="C212" s="527" t="s">
        <v>79</v>
      </c>
      <c r="D212" s="20">
        <f>INDEX(Kappe!B28:D28,1,MATCH(Eingabe!$C$4,Kappe!$B$12:$D$12))</f>
        <v>51984</v>
      </c>
      <c r="E212" s="19" t="s">
        <v>16</v>
      </c>
      <c r="F212" s="17"/>
      <c r="G212" s="527" t="s">
        <v>1324</v>
      </c>
      <c r="H212" s="527"/>
      <c r="I212" s="527"/>
      <c r="J212" s="225"/>
      <c r="K212" s="224"/>
    </row>
    <row r="213" spans="1:11" s="239" customFormat="1" ht="13" customHeight="1">
      <c r="A213" s="224"/>
      <c r="B213" s="17"/>
      <c r="C213" s="527" t="s">
        <v>80</v>
      </c>
      <c r="D213" s="20">
        <f>INDEX(Kappe!B29:D29,1,MATCH(Eingabe!$C$4,Kappe!$B$12:$D$12))</f>
        <v>69168</v>
      </c>
      <c r="E213" s="19" t="s">
        <v>16</v>
      </c>
      <c r="F213" s="17"/>
      <c r="G213" s="527" t="s">
        <v>1324</v>
      </c>
      <c r="H213" s="527"/>
      <c r="I213" s="527"/>
      <c r="J213" s="225"/>
      <c r="K213" s="224"/>
    </row>
    <row r="214" spans="1:11" s="239" customFormat="1" ht="13" customHeight="1">
      <c r="A214" s="224"/>
      <c r="B214" s="17"/>
      <c r="C214" s="527" t="s">
        <v>10</v>
      </c>
      <c r="D214" s="18">
        <f>Kappe!$B$26</f>
        <v>8.5</v>
      </c>
      <c r="E214" s="19" t="s">
        <v>7</v>
      </c>
      <c r="F214" s="17"/>
      <c r="G214" s="527" t="s">
        <v>1324</v>
      </c>
      <c r="H214" s="527"/>
      <c r="I214" s="527"/>
      <c r="J214" s="225"/>
      <c r="K214" s="224"/>
    </row>
    <row r="215" spans="1:11" s="239" customFormat="1" ht="13" customHeight="1">
      <c r="A215" s="224"/>
      <c r="B215" s="17"/>
      <c r="C215" s="23" t="s">
        <v>81</v>
      </c>
      <c r="D215" s="21">
        <f>INDEX(Kappe!B30:D30,1,MATCH(Eingabe!$C$4,Kappe!$B$12:$D$12))</f>
        <v>1</v>
      </c>
      <c r="E215" s="19" t="s">
        <v>7</v>
      </c>
      <c r="F215" s="17"/>
      <c r="G215" s="527" t="s">
        <v>1324</v>
      </c>
      <c r="H215" s="527"/>
      <c r="I215" s="527"/>
      <c r="J215" s="225"/>
      <c r="K215" s="224"/>
    </row>
    <row r="216" spans="1:11" s="239" customFormat="1" ht="13" customHeight="1">
      <c r="A216" s="224"/>
      <c r="B216" s="17"/>
      <c r="C216" s="23" t="s">
        <v>82</v>
      </c>
      <c r="D216" s="21">
        <f>INDEX(Kappe!B31:D31,1,MATCH(Eingabe!$C$4,Kappe!$B$12:$D$12))</f>
        <v>1</v>
      </c>
      <c r="E216" s="19" t="s">
        <v>7</v>
      </c>
      <c r="F216" s="17"/>
      <c r="G216" s="527" t="s">
        <v>1324</v>
      </c>
      <c r="H216" s="527"/>
      <c r="I216" s="527"/>
      <c r="J216" s="225"/>
      <c r="K216" s="224"/>
    </row>
    <row r="217" spans="1:11" s="239" customFormat="1" ht="13" customHeight="1">
      <c r="A217" s="224"/>
      <c r="B217" s="17"/>
      <c r="C217" s="23" t="s">
        <v>83</v>
      </c>
      <c r="D217" s="21">
        <f>INDEX(Kappe!B32:D32,1,MATCH(Eingabe!$C$4,Kappe!$B$12:$D$12))</f>
        <v>1</v>
      </c>
      <c r="E217" s="19" t="s">
        <v>7</v>
      </c>
      <c r="F217" s="17"/>
      <c r="G217" s="527" t="s">
        <v>1324</v>
      </c>
      <c r="H217" s="527"/>
      <c r="I217" s="527"/>
      <c r="J217" s="225"/>
      <c r="K217" s="224"/>
    </row>
    <row r="218" spans="1:11" s="239" customFormat="1" ht="13" customHeight="1">
      <c r="A218" s="224"/>
      <c r="B218" s="17"/>
      <c r="C218" s="23" t="s">
        <v>84</v>
      </c>
      <c r="D218" s="21">
        <f>INDEX(Kappe!B33:D33,1,MATCH(Eingabe!$C$4,Kappe!$B$12:$D$12))</f>
        <v>1</v>
      </c>
      <c r="E218" s="19" t="s">
        <v>7</v>
      </c>
      <c r="F218" s="17"/>
      <c r="G218" s="527" t="s">
        <v>1324</v>
      </c>
      <c r="H218" s="527"/>
      <c r="I218" s="527"/>
      <c r="J218" s="225"/>
      <c r="K218" s="224"/>
    </row>
    <row r="219" spans="1:11" s="239" customFormat="1" ht="13" customHeight="1">
      <c r="A219" s="224"/>
      <c r="B219" s="17"/>
      <c r="C219" s="666" t="s">
        <v>1152</v>
      </c>
      <c r="D219" s="669">
        <f>Eingabe!N3</f>
        <v>1</v>
      </c>
      <c r="E219" s="19" t="s">
        <v>7</v>
      </c>
      <c r="F219" s="17"/>
      <c r="G219" s="527" t="s">
        <v>1151</v>
      </c>
      <c r="H219" s="527"/>
      <c r="I219" s="527"/>
      <c r="J219" s="225"/>
      <c r="K219" s="224"/>
    </row>
    <row r="220" spans="1:11" s="239" customFormat="1" ht="13" customHeight="1">
      <c r="A220" s="224"/>
      <c r="B220" s="17"/>
      <c r="C220" s="527" t="s">
        <v>77</v>
      </c>
      <c r="D220" s="21">
        <f>INDEX(Kappe!B34:D34,1,MATCH(Eingabe!$C$4,Kappe!$B$12:$D$12))</f>
        <v>41.042656765686658</v>
      </c>
      <c r="E220" s="19" t="s">
        <v>2</v>
      </c>
      <c r="F220" s="17"/>
      <c r="G220" s="527" t="s">
        <v>1324</v>
      </c>
      <c r="H220" s="527"/>
      <c r="I220" s="527"/>
      <c r="J220" s="225"/>
      <c r="K220" s="224"/>
    </row>
    <row r="221" spans="1:11" s="239" customFormat="1" ht="13" customHeight="1">
      <c r="A221" s="224"/>
      <c r="B221" s="17"/>
      <c r="C221" s="17" t="s">
        <v>12</v>
      </c>
      <c r="D221" s="21">
        <f>Kappe!$B$35</f>
        <v>1.2</v>
      </c>
      <c r="E221" s="19" t="s">
        <v>7</v>
      </c>
      <c r="F221" s="17"/>
      <c r="G221" s="527" t="s">
        <v>1324</v>
      </c>
      <c r="H221" s="527"/>
      <c r="I221" s="527"/>
      <c r="J221" s="225"/>
      <c r="K221" s="224"/>
    </row>
    <row r="222" spans="1:11" s="239" customFormat="1" ht="13" customHeight="1">
      <c r="A222" s="224"/>
      <c r="B222" s="17"/>
      <c r="C222" s="527" t="s">
        <v>71</v>
      </c>
      <c r="D222" s="21">
        <f>INDEX(Kappe!B36:D36,1,MATCH(Eingabe!$C$4,Kappe!$B$12:$D$12))</f>
        <v>34.202213971405548</v>
      </c>
      <c r="E222" s="19" t="s">
        <v>2</v>
      </c>
      <c r="F222" s="17"/>
      <c r="G222" s="527" t="s">
        <v>73</v>
      </c>
      <c r="H222" s="527"/>
      <c r="I222" s="527"/>
      <c r="J222" s="225"/>
      <c r="K222" s="224"/>
    </row>
    <row r="223" spans="1:11" s="239" customFormat="1" ht="13" customHeight="1">
      <c r="A223" s="224"/>
      <c r="B223" s="17"/>
      <c r="C223" s="527" t="s">
        <v>302</v>
      </c>
      <c r="D223" s="21">
        <f>Kappe!$B$53</f>
        <v>4.2779482683033754</v>
      </c>
      <c r="E223" s="19" t="s">
        <v>2</v>
      </c>
      <c r="F223" s="17"/>
      <c r="G223" s="527" t="s">
        <v>75</v>
      </c>
      <c r="H223" s="527"/>
      <c r="I223" s="527"/>
      <c r="J223" s="225"/>
      <c r="K223" s="224"/>
    </row>
    <row r="224" spans="1:11" s="239" customFormat="1" ht="13" customHeight="1">
      <c r="A224" s="224"/>
      <c r="B224" s="17"/>
      <c r="C224" s="25" t="s">
        <v>89</v>
      </c>
      <c r="D224" s="26">
        <f>D223/D222</f>
        <v>0.12507810961828131</v>
      </c>
      <c r="E224" s="520" t="s">
        <v>7</v>
      </c>
      <c r="F224" s="27"/>
      <c r="G224" s="24" t="s">
        <v>46</v>
      </c>
      <c r="H224" s="527"/>
      <c r="I224" s="527"/>
      <c r="J224" s="225"/>
      <c r="K224" s="224"/>
    </row>
    <row r="225" spans="1:11" s="239" customFormat="1" ht="6.8" customHeight="1">
      <c r="A225" s="224"/>
      <c r="B225" s="231"/>
      <c r="C225" s="226"/>
      <c r="D225" s="227"/>
      <c r="E225" s="225"/>
      <c r="F225" s="224"/>
      <c r="G225" s="225"/>
      <c r="H225" s="225"/>
      <c r="I225" s="225"/>
      <c r="J225" s="225"/>
      <c r="K225" s="224"/>
    </row>
    <row r="226" spans="1:11" s="239" customFormat="1" ht="13" customHeight="1">
      <c r="A226" s="1032" t="s">
        <v>513</v>
      </c>
      <c r="B226" s="1032"/>
      <c r="C226" s="1032"/>
      <c r="D226" s="1032"/>
      <c r="E226" s="1032"/>
      <c r="F226" s="1032"/>
      <c r="G226" s="1032"/>
      <c r="H226" s="1032"/>
      <c r="I226" s="1032"/>
      <c r="J226" s="1032"/>
      <c r="K226" s="520"/>
    </row>
    <row r="227" spans="1:11" s="239" customFormat="1" ht="13" customHeight="1">
      <c r="A227" s="527"/>
      <c r="B227" s="235" t="s">
        <v>120</v>
      </c>
      <c r="C227" s="236"/>
      <c r="D227" s="527"/>
      <c r="E227" s="527"/>
      <c r="F227" s="527"/>
      <c r="G227" s="527"/>
      <c r="H227" s="527"/>
      <c r="I227" s="527"/>
      <c r="J227" s="527"/>
      <c r="K227" s="527"/>
    </row>
    <row r="228" spans="1:11" s="239" customFormat="1" ht="13" customHeight="1">
      <c r="A228" s="527"/>
      <c r="B228" s="17"/>
      <c r="C228" s="527" t="s">
        <v>118</v>
      </c>
      <c r="D228" s="21">
        <f>INDEX(Kappe!B58:D58,1,MATCH(Eingabe!$C$4,Kappe!$B$12:$D$12))</f>
        <v>760.54326346673008</v>
      </c>
      <c r="E228" s="19" t="s">
        <v>119</v>
      </c>
      <c r="F228" s="17"/>
      <c r="G228" s="527" t="s">
        <v>1555</v>
      </c>
      <c r="H228" s="527"/>
      <c r="I228" s="527"/>
      <c r="J228" s="527"/>
      <c r="K228" s="527"/>
    </row>
    <row r="229" spans="1:11" s="239" customFormat="1" ht="13" customHeight="1">
      <c r="A229" s="527"/>
      <c r="B229" s="17"/>
      <c r="C229" s="17" t="s">
        <v>3</v>
      </c>
      <c r="D229" s="21">
        <f>Kappe!$B$59</f>
        <v>1.56</v>
      </c>
      <c r="E229" s="19" t="s">
        <v>7</v>
      </c>
      <c r="F229" s="17"/>
      <c r="G229" s="527" t="s">
        <v>359</v>
      </c>
      <c r="H229" s="527"/>
      <c r="I229" s="527"/>
      <c r="J229" s="527"/>
      <c r="K229" s="527"/>
    </row>
    <row r="230" spans="1:11" s="239" customFormat="1" ht="13" customHeight="1">
      <c r="A230" s="527"/>
      <c r="B230" s="17"/>
      <c r="C230" s="527" t="s">
        <v>65</v>
      </c>
      <c r="D230" s="21">
        <f>INDEX(Kappe!B60:D60,1,MATCH(Eingabe!$C$4,Kappe!$B$12:$D$12))</f>
        <v>30.470483311968351</v>
      </c>
      <c r="E230" s="19" t="s">
        <v>2</v>
      </c>
      <c r="F230" s="17"/>
      <c r="G230" s="527" t="s">
        <v>73</v>
      </c>
      <c r="H230" s="14"/>
      <c r="I230" s="14"/>
      <c r="J230" s="14"/>
      <c r="K230" s="17"/>
    </row>
    <row r="231" spans="1:11" s="239" customFormat="1" ht="13" customHeight="1">
      <c r="A231" s="527"/>
      <c r="B231" s="17"/>
      <c r="C231" s="527" t="s">
        <v>303</v>
      </c>
      <c r="D231" s="21">
        <f>Kappe!$B$61</f>
        <v>27.194109375</v>
      </c>
      <c r="E231" s="19" t="s">
        <v>2</v>
      </c>
      <c r="F231" s="17"/>
      <c r="G231" s="527" t="s">
        <v>75</v>
      </c>
      <c r="H231" s="527"/>
      <c r="I231" s="18"/>
      <c r="J231" s="17"/>
      <c r="K231" s="17"/>
    </row>
    <row r="232" spans="1:11" s="239" customFormat="1" ht="13" customHeight="1">
      <c r="A232" s="527"/>
      <c r="B232" s="17"/>
      <c r="C232" s="25" t="s">
        <v>90</v>
      </c>
      <c r="D232" s="26">
        <f>D231/D230</f>
        <v>0.8924738441650697</v>
      </c>
      <c r="E232" s="520" t="s">
        <v>7</v>
      </c>
      <c r="F232" s="27"/>
      <c r="G232" s="24" t="s">
        <v>46</v>
      </c>
      <c r="H232" s="527"/>
      <c r="I232" s="18"/>
      <c r="J232" s="17"/>
      <c r="K232" s="17"/>
    </row>
    <row r="233" spans="1:11" s="239" customFormat="1" ht="6.8" customHeight="1">
      <c r="A233" s="4"/>
      <c r="B233" s="240"/>
      <c r="C233" s="240"/>
      <c r="D233" s="240"/>
      <c r="E233" s="240"/>
      <c r="F233" s="240"/>
      <c r="G233" s="240"/>
      <c r="H233" s="240"/>
      <c r="I233" s="240"/>
      <c r="J233" s="240"/>
      <c r="K233" s="4"/>
    </row>
    <row r="234" spans="1:11" s="239" customFormat="1" ht="13" customHeight="1">
      <c r="A234" s="225"/>
      <c r="B234" s="238" t="s">
        <v>9</v>
      </c>
      <c r="C234" s="17"/>
      <c r="D234" s="17"/>
      <c r="E234" s="17"/>
      <c r="F234" s="527"/>
      <c r="G234" s="527"/>
      <c r="H234" s="527"/>
      <c r="I234" s="18"/>
      <c r="J234" s="224"/>
      <c r="K234" s="224"/>
    </row>
    <row r="235" spans="1:11" s="239" customFormat="1" ht="13" customHeight="1">
      <c r="A235" s="225"/>
      <c r="B235" s="17"/>
      <c r="C235" s="4" t="s">
        <v>10</v>
      </c>
      <c r="D235" s="18">
        <f>Kappe!$B$64</f>
        <v>2</v>
      </c>
      <c r="E235" s="19" t="s">
        <v>7</v>
      </c>
      <c r="F235" s="17"/>
      <c r="G235" s="527" t="s">
        <v>1324</v>
      </c>
      <c r="H235" s="527"/>
      <c r="I235" s="18"/>
      <c r="J235" s="224"/>
      <c r="K235" s="224"/>
    </row>
    <row r="236" spans="1:11" s="239" customFormat="1" ht="13" customHeight="1">
      <c r="A236" s="224"/>
      <c r="B236" s="17"/>
      <c r="C236" s="527" t="s">
        <v>18</v>
      </c>
      <c r="D236" s="21">
        <f>INDEX(Kappe!B65:D65,1,MATCH(Eingabe!$C$4,Kappe!$B$12:$D$12))</f>
        <v>82.085313531373316</v>
      </c>
      <c r="E236" s="237" t="s">
        <v>2</v>
      </c>
      <c r="F236" s="17"/>
      <c r="G236" s="527" t="s">
        <v>1324</v>
      </c>
      <c r="H236" s="17"/>
      <c r="I236" s="17"/>
      <c r="J236" s="224"/>
      <c r="K236" s="224"/>
    </row>
    <row r="237" spans="1:11" s="239" customFormat="1" ht="13" customHeight="1">
      <c r="A237" s="224"/>
      <c r="B237" s="17"/>
      <c r="C237" s="17" t="s">
        <v>12</v>
      </c>
      <c r="D237" s="21">
        <f>Kappe!$B$66</f>
        <v>1.2</v>
      </c>
      <c r="E237" s="19" t="s">
        <v>7</v>
      </c>
      <c r="F237" s="17"/>
      <c r="G237" s="527" t="s">
        <v>1324</v>
      </c>
      <c r="H237" s="17"/>
      <c r="I237" s="17"/>
      <c r="J237" s="224"/>
      <c r="K237" s="224"/>
    </row>
    <row r="238" spans="1:11" s="239" customFormat="1" ht="13" customHeight="1">
      <c r="A238" s="224"/>
      <c r="B238" s="17"/>
      <c r="C238" s="17" t="s">
        <v>72</v>
      </c>
      <c r="D238" s="21">
        <f>INDEX(Kappe!B67:D67,1,MATCH(Eingabe!$C$4,Kappe!$B$12:$D$12))</f>
        <v>68.404427942811097</v>
      </c>
      <c r="E238" s="19" t="s">
        <v>2</v>
      </c>
      <c r="F238" s="17"/>
      <c r="G238" s="527" t="s">
        <v>73</v>
      </c>
      <c r="H238" s="17"/>
      <c r="I238" s="17"/>
      <c r="J238" s="224"/>
      <c r="K238" s="224"/>
    </row>
    <row r="239" spans="1:11" s="239" customFormat="1" ht="13" customHeight="1">
      <c r="A239" s="224"/>
      <c r="B239" s="17"/>
      <c r="C239" s="527" t="s">
        <v>86</v>
      </c>
      <c r="D239" s="21">
        <f>Kappe!$B$84</f>
        <v>27.194109375</v>
      </c>
      <c r="E239" s="19" t="s">
        <v>2</v>
      </c>
      <c r="F239" s="17"/>
      <c r="G239" s="527" t="s">
        <v>75</v>
      </c>
      <c r="H239" s="17"/>
      <c r="I239" s="17"/>
      <c r="J239" s="224"/>
      <c r="K239" s="224"/>
    </row>
    <row r="240" spans="1:11" s="239" customFormat="1" ht="13" customHeight="1">
      <c r="A240" s="224"/>
      <c r="B240" s="17"/>
      <c r="C240" s="25" t="s">
        <v>91</v>
      </c>
      <c r="D240" s="26">
        <f>D239/D238</f>
        <v>0.39754896273287144</v>
      </c>
      <c r="E240" s="520" t="s">
        <v>7</v>
      </c>
      <c r="F240" s="27"/>
      <c r="G240" s="24" t="s">
        <v>46</v>
      </c>
      <c r="H240" s="17"/>
      <c r="I240" s="17"/>
      <c r="J240" s="224"/>
      <c r="K240" s="224"/>
    </row>
    <row r="241" spans="1:19" s="239" customFormat="1" ht="6.8" customHeight="1">
      <c r="A241" s="224"/>
      <c r="B241" s="224"/>
      <c r="C241" s="231"/>
      <c r="D241" s="229"/>
      <c r="E241" s="227"/>
      <c r="F241" s="224"/>
      <c r="G241" s="225"/>
      <c r="H241" s="230"/>
      <c r="I241" s="224"/>
      <c r="J241" s="224"/>
      <c r="K241" s="224"/>
    </row>
    <row r="242" spans="1:19" s="239" customFormat="1" ht="13" customHeight="1">
      <c r="A242" s="1034" t="s">
        <v>517</v>
      </c>
      <c r="B242" s="1034"/>
      <c r="C242" s="1034"/>
      <c r="D242" s="1034"/>
      <c r="E242" s="1034"/>
      <c r="F242" s="1034"/>
      <c r="G242" s="1034"/>
      <c r="H242" s="1034"/>
      <c r="I242" s="1034"/>
      <c r="J242" s="1034"/>
      <c r="K242" s="519"/>
    </row>
    <row r="243" spans="1:19" s="239" customFormat="1" ht="6.8" customHeight="1">
      <c r="A243" s="17"/>
      <c r="B243" s="17"/>
      <c r="C243" s="23"/>
      <c r="D243" s="18"/>
      <c r="E243" s="19"/>
      <c r="F243" s="17"/>
      <c r="G243" s="527"/>
      <c r="H243" s="20"/>
      <c r="I243" s="17"/>
      <c r="J243" s="17"/>
      <c r="K243" s="17"/>
    </row>
    <row r="244" spans="1:19" s="239" customFormat="1" ht="13" customHeight="1">
      <c r="A244" s="17"/>
      <c r="B244" s="17"/>
      <c r="C244" s="23" t="s">
        <v>85</v>
      </c>
      <c r="D244" s="21">
        <f>INDEX(Kappe!B89:D89,1,MATCH(Eingabe!$C$4,Kappe!$B$12:$D$12))</f>
        <v>0.12507810961828131</v>
      </c>
      <c r="E244" s="19" t="s">
        <v>7</v>
      </c>
      <c r="F244" s="17"/>
      <c r="G244" s="527" t="s">
        <v>515</v>
      </c>
      <c r="H244" s="20"/>
      <c r="I244" s="17"/>
      <c r="J244" s="17"/>
      <c r="K244" s="17"/>
    </row>
    <row r="245" spans="1:19" s="239" customFormat="1" ht="13" customHeight="1">
      <c r="A245" s="17"/>
      <c r="B245" s="17"/>
      <c r="C245" s="23" t="s">
        <v>87</v>
      </c>
      <c r="D245" s="21">
        <f>INDEX(Kappe!B90:D90,1,MATCH(Eingabe!$C$4,Kappe!$B$12:$D$12))</f>
        <v>0.8924738441650697</v>
      </c>
      <c r="E245" s="19" t="s">
        <v>7</v>
      </c>
      <c r="F245" s="17"/>
      <c r="G245" s="527" t="s">
        <v>519</v>
      </c>
      <c r="H245" s="20"/>
      <c r="I245" s="17"/>
      <c r="J245" s="17"/>
      <c r="K245" s="17"/>
    </row>
    <row r="246" spans="1:19" s="239" customFormat="1" ht="1.75" customHeight="1">
      <c r="A246" s="17"/>
      <c r="B246" s="17"/>
      <c r="C246" s="23"/>
      <c r="D246" s="21"/>
      <c r="E246" s="19"/>
      <c r="F246" s="17"/>
      <c r="G246" s="527"/>
      <c r="H246" s="20"/>
      <c r="I246" s="17"/>
      <c r="J246" s="17"/>
      <c r="K246" s="17"/>
    </row>
    <row r="247" spans="1:19" s="239" customFormat="1" ht="13" customHeight="1">
      <c r="A247" s="17"/>
      <c r="B247" s="17"/>
      <c r="C247" s="25" t="s">
        <v>548</v>
      </c>
      <c r="D247" s="26">
        <f>INDEX(Kappe!B92:D92,1,MATCH(Eingabe!$C$4,Kappe!$B$12:$D$12))</f>
        <v>0.84795996148612596</v>
      </c>
      <c r="E247" s="520" t="s">
        <v>7</v>
      </c>
      <c r="F247" s="27"/>
      <c r="G247" s="24" t="s">
        <v>1324</v>
      </c>
      <c r="H247" s="20"/>
      <c r="I247" s="17"/>
      <c r="J247" s="17"/>
      <c r="K247" s="17"/>
    </row>
    <row r="248" spans="1:19" s="239" customFormat="1" ht="6.8" customHeight="1">
      <c r="A248" s="17"/>
      <c r="B248" s="17"/>
      <c r="C248" s="23"/>
      <c r="D248" s="21"/>
      <c r="E248" s="19"/>
      <c r="F248" s="17"/>
      <c r="G248" s="17"/>
      <c r="H248" s="20"/>
      <c r="I248" s="17"/>
      <c r="J248" s="17"/>
      <c r="K248" s="17"/>
    </row>
    <row r="249" spans="1:19" s="1" customFormat="1" ht="14.15" customHeight="1">
      <c r="A249" s="1033" t="s">
        <v>1155</v>
      </c>
      <c r="B249" s="1033"/>
      <c r="C249" s="1033"/>
      <c r="D249" s="1033"/>
      <c r="E249" s="1033"/>
      <c r="F249" s="1033"/>
      <c r="G249" s="1033"/>
      <c r="H249" s="1033"/>
      <c r="I249" s="1033"/>
      <c r="J249" s="1033"/>
      <c r="K249" s="502"/>
      <c r="L249" s="531"/>
      <c r="M249" s="531"/>
      <c r="N249" s="531"/>
      <c r="O249" s="531"/>
      <c r="P249" s="531"/>
      <c r="Q249" s="531"/>
      <c r="R249" s="531"/>
      <c r="S249" s="531"/>
    </row>
    <row r="250" spans="1:19" s="1" customFormat="1" ht="6.8" customHeight="1">
      <c r="A250" s="228"/>
      <c r="B250" s="242"/>
      <c r="C250" s="242"/>
      <c r="D250" s="242"/>
      <c r="E250" s="242"/>
      <c r="F250" s="242"/>
      <c r="G250" s="242"/>
      <c r="H250" s="242"/>
      <c r="I250" s="242"/>
      <c r="J250" s="242"/>
      <c r="K250" s="228"/>
      <c r="L250" s="531"/>
      <c r="M250" s="531"/>
      <c r="N250" s="531"/>
      <c r="O250" s="531"/>
      <c r="P250" s="531"/>
      <c r="Q250" s="531"/>
      <c r="R250" s="531"/>
      <c r="S250" s="531"/>
    </row>
    <row r="251" spans="1:19" s="1" customFormat="1" ht="13" customHeight="1">
      <c r="A251" s="1032" t="s">
        <v>514</v>
      </c>
      <c r="B251" s="1032"/>
      <c r="C251" s="1032"/>
      <c r="D251" s="1032"/>
      <c r="E251" s="1032"/>
      <c r="F251" s="1032"/>
      <c r="G251" s="1032"/>
      <c r="H251" s="1032"/>
      <c r="I251" s="1032"/>
      <c r="J251" s="1032"/>
      <c r="K251" s="520"/>
      <c r="L251" s="531"/>
      <c r="M251" s="531"/>
      <c r="N251" s="531"/>
      <c r="O251" s="531"/>
      <c r="P251" s="531"/>
      <c r="Q251" s="531"/>
      <c r="R251" s="531"/>
      <c r="S251" s="531"/>
    </row>
    <row r="252" spans="1:19" s="1" customFormat="1" ht="13" customHeight="1">
      <c r="A252" s="17"/>
      <c r="B252" s="14" t="s">
        <v>1</v>
      </c>
      <c r="C252" s="232"/>
      <c r="D252" s="232"/>
      <c r="E252" s="232"/>
      <c r="F252" s="17"/>
      <c r="G252" s="527"/>
      <c r="H252" s="527"/>
      <c r="I252" s="527"/>
      <c r="J252" s="527"/>
      <c r="K252" s="17"/>
      <c r="L252" s="531"/>
      <c r="M252" s="531"/>
      <c r="N252" s="531"/>
      <c r="O252" s="531"/>
      <c r="P252" s="531"/>
      <c r="Q252" s="531"/>
      <c r="R252" s="531"/>
      <c r="S252" s="531"/>
    </row>
    <row r="253" spans="1:19" s="1" customFormat="1" ht="13" customHeight="1">
      <c r="A253" s="17"/>
      <c r="B253" s="17"/>
      <c r="C253" s="527" t="s">
        <v>4</v>
      </c>
      <c r="D253" s="19">
        <f>INDEX(Tragwerk!$M$23:$O$23,1,MATCH(Eingabe!$C$4,Tragwerk!$M$14:$O$14))</f>
        <v>247</v>
      </c>
      <c r="E253" s="19" t="s">
        <v>2</v>
      </c>
      <c r="F253" s="17"/>
      <c r="G253" s="527" t="s">
        <v>361</v>
      </c>
      <c r="H253" s="527"/>
      <c r="I253" s="527"/>
      <c r="J253" s="527"/>
      <c r="K253" s="17"/>
      <c r="L253" s="531"/>
      <c r="M253" s="531"/>
      <c r="N253" s="531"/>
      <c r="O253" s="531"/>
      <c r="P253" s="531"/>
      <c r="Q253" s="531"/>
      <c r="R253" s="531"/>
      <c r="S253" s="531"/>
    </row>
    <row r="254" spans="1:19" s="1" customFormat="1" ht="13" customHeight="1">
      <c r="A254" s="17"/>
      <c r="B254" s="17"/>
      <c r="C254" s="17" t="s">
        <v>3</v>
      </c>
      <c r="D254" s="21">
        <f>Tragwerk!$M$24</f>
        <v>1.87</v>
      </c>
      <c r="E254" s="19" t="s">
        <v>7</v>
      </c>
      <c r="F254" s="17"/>
      <c r="G254" s="527" t="s">
        <v>359</v>
      </c>
      <c r="H254" s="527"/>
      <c r="I254" s="527"/>
      <c r="J254" s="527"/>
      <c r="K254" s="17"/>
      <c r="L254" s="531"/>
      <c r="M254" s="531"/>
      <c r="N254" s="531"/>
      <c r="O254" s="531"/>
      <c r="P254" s="531"/>
      <c r="Q254" s="531"/>
      <c r="R254" s="531"/>
      <c r="S254" s="531"/>
    </row>
    <row r="255" spans="1:19" s="1" customFormat="1" ht="13" customHeight="1">
      <c r="A255" s="17"/>
      <c r="B255" s="17"/>
      <c r="C255" s="527" t="s">
        <v>64</v>
      </c>
      <c r="D255" s="21">
        <f>INDEX(Tragwerk!M25:O25,1,MATCH(Eingabe!C4,Tragwerk!M14:O14))</f>
        <v>132.08556149732618</v>
      </c>
      <c r="E255" s="19" t="s">
        <v>2</v>
      </c>
      <c r="F255" s="17"/>
      <c r="G255" s="527" t="s">
        <v>73</v>
      </c>
      <c r="H255" s="527"/>
      <c r="I255" s="527"/>
      <c r="J255" s="527"/>
      <c r="K255" s="17"/>
      <c r="L255" s="531"/>
      <c r="M255" s="531"/>
      <c r="N255" s="531"/>
      <c r="O255" s="531"/>
      <c r="P255" s="531"/>
      <c r="Q255" s="531"/>
      <c r="R255" s="531"/>
      <c r="S255" s="531"/>
    </row>
    <row r="256" spans="1:19" s="1" customFormat="1" ht="13" customHeight="1">
      <c r="A256" s="17"/>
      <c r="B256" s="17"/>
      <c r="C256" s="527" t="s">
        <v>306</v>
      </c>
      <c r="D256" s="21">
        <f>Tragwerk!$M$60</f>
        <v>4.7057430951337125</v>
      </c>
      <c r="E256" s="19" t="s">
        <v>2</v>
      </c>
      <c r="F256" s="17"/>
      <c r="G256" s="527" t="s">
        <v>75</v>
      </c>
      <c r="H256" s="527"/>
      <c r="I256" s="527"/>
      <c r="J256" s="527"/>
      <c r="K256" s="17"/>
      <c r="L256" s="531"/>
      <c r="M256" s="531"/>
      <c r="N256" s="531"/>
      <c r="O256" s="531"/>
      <c r="P256" s="531"/>
      <c r="Q256" s="531"/>
      <c r="R256" s="531"/>
      <c r="S256" s="531"/>
    </row>
    <row r="257" spans="1:19" s="1" customFormat="1" ht="13" customHeight="1">
      <c r="A257" s="17"/>
      <c r="B257" s="17"/>
      <c r="C257" s="25" t="s">
        <v>88</v>
      </c>
      <c r="D257" s="26">
        <f>D256/D255</f>
        <v>3.5626476064372643E-2</v>
      </c>
      <c r="E257" s="520" t="s">
        <v>7</v>
      </c>
      <c r="F257" s="27"/>
      <c r="G257" s="24" t="s">
        <v>46</v>
      </c>
      <c r="H257" s="527"/>
      <c r="I257" s="527"/>
      <c r="J257" s="527"/>
      <c r="K257" s="17"/>
      <c r="L257" s="531"/>
      <c r="M257" s="531"/>
      <c r="N257" s="531"/>
      <c r="O257" s="531"/>
      <c r="P257" s="531"/>
      <c r="Q257" s="531"/>
      <c r="R257" s="531"/>
      <c r="S257" s="531"/>
    </row>
    <row r="258" spans="1:19" s="1" customFormat="1" ht="6.8" customHeight="1">
      <c r="A258" s="4"/>
      <c r="B258" s="240"/>
      <c r="C258" s="240"/>
      <c r="D258" s="240"/>
      <c r="E258" s="240"/>
      <c r="F258" s="240"/>
      <c r="G258" s="240"/>
      <c r="H258" s="240"/>
      <c r="I258" s="240"/>
      <c r="J258" s="240"/>
      <c r="K258" s="4"/>
      <c r="L258" s="531"/>
      <c r="M258" s="531"/>
      <c r="N258" s="531"/>
      <c r="O258" s="531"/>
      <c r="P258" s="531"/>
      <c r="Q258" s="531"/>
      <c r="R258" s="531"/>
      <c r="S258" s="531"/>
    </row>
    <row r="259" spans="1:19" s="1" customFormat="1" ht="13" customHeight="1">
      <c r="A259" s="224"/>
      <c r="B259" s="233" t="s">
        <v>132</v>
      </c>
      <c r="C259" s="19"/>
      <c r="D259" s="19"/>
      <c r="E259" s="17"/>
      <c r="F259" s="17"/>
      <c r="G259" s="527"/>
      <c r="H259" s="527"/>
      <c r="I259" s="527"/>
      <c r="J259" s="527"/>
      <c r="K259" s="224"/>
      <c r="L259" s="531"/>
      <c r="M259" s="531"/>
      <c r="N259" s="531"/>
      <c r="O259" s="531"/>
      <c r="P259" s="531"/>
      <c r="Q259" s="531"/>
      <c r="R259" s="531"/>
      <c r="S259" s="531"/>
    </row>
    <row r="260" spans="1:19" s="1" customFormat="1" ht="14.25" customHeight="1">
      <c r="A260" s="224"/>
      <c r="B260" s="233"/>
      <c r="C260" s="527" t="s">
        <v>128</v>
      </c>
      <c r="D260" s="21">
        <f>INDEX(Tragwerk!$M$27:$O$27,1,MATCH(Eingabe!$C$4,Tragwerk!$M$14:$O$14))</f>
        <v>84.446010528493645</v>
      </c>
      <c r="E260" s="19" t="s">
        <v>2</v>
      </c>
      <c r="F260" s="17"/>
      <c r="G260" s="527" t="s">
        <v>361</v>
      </c>
      <c r="H260" s="527"/>
      <c r="I260" s="527"/>
      <c r="J260" s="527"/>
      <c r="K260" s="224"/>
      <c r="L260" s="531"/>
      <c r="M260" s="531"/>
      <c r="N260" s="531"/>
      <c r="O260" s="531"/>
      <c r="P260" s="531"/>
      <c r="Q260" s="531"/>
      <c r="R260" s="531"/>
      <c r="S260" s="531"/>
    </row>
    <row r="261" spans="1:19" s="1" customFormat="1" ht="13" customHeight="1">
      <c r="A261" s="224"/>
      <c r="B261" s="233"/>
      <c r="C261" s="234" t="s">
        <v>129</v>
      </c>
      <c r="D261" s="21">
        <f>INDEX(Tragwerk!$M$28:$O$28,1,MATCH(Eingabe!$C$4,Tragwerk!$M$14:$O$14))</f>
        <v>420</v>
      </c>
      <c r="E261" s="19" t="s">
        <v>0</v>
      </c>
      <c r="F261" s="17"/>
      <c r="G261" s="527" t="s">
        <v>1556</v>
      </c>
      <c r="H261" s="527"/>
      <c r="I261" s="527"/>
      <c r="J261" s="527"/>
      <c r="K261" s="224"/>
      <c r="L261" s="531"/>
      <c r="M261" s="531"/>
      <c r="N261" s="531"/>
      <c r="O261" s="531"/>
      <c r="P261" s="531"/>
      <c r="Q261" s="531"/>
      <c r="R261" s="531"/>
      <c r="S261" s="531"/>
    </row>
    <row r="262" spans="1:19" s="1" customFormat="1" ht="14.25" customHeight="1">
      <c r="A262" s="224"/>
      <c r="B262" s="233"/>
      <c r="C262" s="234" t="s">
        <v>130</v>
      </c>
      <c r="D262" s="20">
        <f>INDEX(Tragwerk!$M$29:$O$29,1,MATCH(Eingabe!$C$4,Tragwerk!$M$14:$O$14))</f>
        <v>176400</v>
      </c>
      <c r="E262" s="19" t="s">
        <v>16</v>
      </c>
      <c r="F262" s="17"/>
      <c r="G262" s="527" t="s">
        <v>1324</v>
      </c>
      <c r="H262" s="527"/>
      <c r="I262" s="527"/>
      <c r="J262" s="527"/>
      <c r="K262" s="224"/>
      <c r="L262" s="531"/>
      <c r="M262" s="531"/>
      <c r="N262" s="531"/>
      <c r="O262" s="531"/>
      <c r="P262" s="531"/>
      <c r="Q262" s="531"/>
      <c r="R262" s="531"/>
      <c r="S262" s="531"/>
    </row>
    <row r="263" spans="1:19" s="1" customFormat="1" ht="13" customHeight="1">
      <c r="A263" s="224"/>
      <c r="B263" s="233"/>
      <c r="C263" s="234" t="s">
        <v>131</v>
      </c>
      <c r="D263" s="20">
        <f>INDEX(Tragwerk!$M$30:$O$30,1,MATCH(Eingabe!$C$4,Tragwerk!$M$14:$O$14))</f>
        <v>142800</v>
      </c>
      <c r="E263" s="19" t="s">
        <v>16</v>
      </c>
      <c r="F263" s="17"/>
      <c r="G263" s="527" t="s">
        <v>1324</v>
      </c>
      <c r="H263" s="527"/>
      <c r="I263" s="527"/>
      <c r="J263" s="527"/>
      <c r="K263" s="224"/>
      <c r="L263" s="531"/>
      <c r="M263" s="531"/>
      <c r="N263" s="531"/>
      <c r="O263" s="531"/>
      <c r="P263" s="531"/>
      <c r="Q263" s="531"/>
      <c r="R263" s="531"/>
      <c r="S263" s="531"/>
    </row>
    <row r="264" spans="1:19" s="1" customFormat="1" ht="13" customHeight="1">
      <c r="A264" s="224"/>
      <c r="B264" s="233"/>
      <c r="C264" s="234" t="s">
        <v>133</v>
      </c>
      <c r="D264" s="18">
        <f>INDEX(Tragwerk!$M$31:$O$31,1,MATCH(Eingabe!$C$4,Tragwerk!$M$14:$O$14))</f>
        <v>1</v>
      </c>
      <c r="E264" s="19" t="s">
        <v>7</v>
      </c>
      <c r="F264" s="17"/>
      <c r="G264" s="527" t="s">
        <v>1324</v>
      </c>
      <c r="H264" s="527"/>
      <c r="I264" s="527"/>
      <c r="J264" s="527"/>
      <c r="K264" s="224"/>
      <c r="L264" s="531"/>
      <c r="M264" s="531"/>
      <c r="N264" s="531"/>
      <c r="O264" s="531"/>
      <c r="P264" s="531"/>
      <c r="Q264" s="531"/>
      <c r="R264" s="531"/>
      <c r="S264" s="531"/>
    </row>
    <row r="265" spans="1:19" s="1" customFormat="1" ht="13" customHeight="1">
      <c r="A265" s="224"/>
      <c r="B265" s="233"/>
      <c r="C265" s="234" t="s">
        <v>104</v>
      </c>
      <c r="D265" s="18">
        <f>INDEX(Tragwerk!$M$32:$O$32,1,MATCH(Eingabe!$C$4,Tragwerk!$M$14:$O$14))</f>
        <v>1</v>
      </c>
      <c r="E265" s="19" t="s">
        <v>7</v>
      </c>
      <c r="F265" s="17"/>
      <c r="G265" s="527" t="s">
        <v>1324</v>
      </c>
      <c r="H265" s="527"/>
      <c r="I265" s="527"/>
      <c r="J265" s="527"/>
      <c r="K265" s="224"/>
      <c r="L265" s="531"/>
      <c r="M265" s="531"/>
      <c r="N265" s="531"/>
      <c r="O265" s="531"/>
      <c r="P265" s="531"/>
      <c r="Q265" s="531"/>
      <c r="R265" s="531"/>
      <c r="S265" s="531"/>
    </row>
    <row r="266" spans="1:19" s="1" customFormat="1" ht="13" customHeight="1">
      <c r="A266" s="224"/>
      <c r="B266" s="233"/>
      <c r="C266" s="234" t="s">
        <v>110</v>
      </c>
      <c r="D266" s="19">
        <f>INDEX(Tragwerk!$M$33:$O$33,1,MATCH(Eingabe!$C$4,Tragwerk!$M$14:$O$14))</f>
        <v>1.04</v>
      </c>
      <c r="E266" s="19" t="s">
        <v>7</v>
      </c>
      <c r="F266" s="17"/>
      <c r="G266" s="527" t="s">
        <v>360</v>
      </c>
      <c r="H266" s="527"/>
      <c r="I266" s="527"/>
      <c r="J266" s="527"/>
      <c r="K266" s="224"/>
      <c r="L266" s="531"/>
      <c r="M266" s="531"/>
      <c r="N266" s="531"/>
      <c r="O266" s="531"/>
      <c r="P266" s="531"/>
      <c r="Q266" s="531"/>
      <c r="R266" s="531"/>
      <c r="S266" s="531"/>
    </row>
    <row r="267" spans="1:19" s="1" customFormat="1" ht="13" customHeight="1">
      <c r="A267" s="224"/>
      <c r="B267" s="233"/>
      <c r="C267" s="234" t="s">
        <v>111</v>
      </c>
      <c r="D267" s="19">
        <f>INDEX(Tragwerk!$M$34:$O$34,1,MATCH(Eingabe!$C$4,Tragwerk!$M$14:$O$14))</f>
        <v>1.07</v>
      </c>
      <c r="E267" s="19" t="s">
        <v>7</v>
      </c>
      <c r="F267" s="17"/>
      <c r="G267" s="527" t="s">
        <v>360</v>
      </c>
      <c r="H267" s="527"/>
      <c r="I267" s="527"/>
      <c r="J267" s="527"/>
      <c r="K267" s="224"/>
      <c r="L267" s="531"/>
      <c r="M267" s="531"/>
      <c r="N267" s="531"/>
      <c r="O267" s="531"/>
      <c r="P267" s="531"/>
      <c r="Q267" s="531"/>
      <c r="R267" s="531"/>
      <c r="S267" s="531"/>
    </row>
    <row r="268" spans="1:19" s="1" customFormat="1" ht="13" customHeight="1">
      <c r="A268" s="224"/>
      <c r="B268" s="233"/>
      <c r="C268" s="234" t="s">
        <v>112</v>
      </c>
      <c r="D268" s="19">
        <f>INDEX(Tragwerk!$M$35:$O$35,1,MATCH(Eingabe!$C$4,Tragwerk!$M$14:$O$14))</f>
        <v>1.0900000000000001</v>
      </c>
      <c r="E268" s="19" t="s">
        <v>7</v>
      </c>
      <c r="F268" s="17"/>
      <c r="G268" s="527" t="s">
        <v>360</v>
      </c>
      <c r="H268" s="527"/>
      <c r="I268" s="527"/>
      <c r="J268" s="527"/>
      <c r="K268" s="224"/>
      <c r="L268" s="531"/>
      <c r="M268" s="531"/>
      <c r="N268" s="531"/>
      <c r="O268" s="531"/>
      <c r="P268" s="531"/>
      <c r="Q268" s="531"/>
      <c r="R268" s="531"/>
      <c r="S268" s="531"/>
    </row>
    <row r="269" spans="1:19" s="1" customFormat="1" ht="13" customHeight="1">
      <c r="A269" s="224"/>
      <c r="B269" s="233"/>
      <c r="C269" s="234" t="s">
        <v>108</v>
      </c>
      <c r="D269" s="19">
        <f>Tragwerk!$M$38</f>
        <v>1.2</v>
      </c>
      <c r="E269" s="19" t="s">
        <v>7</v>
      </c>
      <c r="F269" s="17"/>
      <c r="G269" s="527" t="s">
        <v>1324</v>
      </c>
      <c r="H269" s="527"/>
      <c r="I269" s="527"/>
      <c r="J269" s="527"/>
      <c r="K269" s="224"/>
      <c r="L269" s="531"/>
      <c r="M269" s="531"/>
      <c r="N269" s="531"/>
      <c r="O269" s="531"/>
      <c r="P269" s="531"/>
      <c r="Q269" s="531"/>
      <c r="R269" s="531"/>
      <c r="S269" s="531"/>
    </row>
    <row r="270" spans="1:19" s="1" customFormat="1" ht="13" customHeight="1">
      <c r="A270" s="224"/>
      <c r="B270" s="233"/>
      <c r="C270" s="234" t="s">
        <v>123</v>
      </c>
      <c r="D270" s="21">
        <f>INDEX(Tragwerk!M39:O39,1,MATCH(Eingabe!C4,Tragwerk!M14:O14))</f>
        <v>59.246248656498729</v>
      </c>
      <c r="E270" s="19" t="s">
        <v>2</v>
      </c>
      <c r="F270" s="17"/>
      <c r="G270" s="527" t="s">
        <v>73</v>
      </c>
      <c r="H270" s="527"/>
      <c r="I270" s="527"/>
      <c r="J270" s="527"/>
      <c r="K270" s="224"/>
      <c r="L270" s="531"/>
      <c r="M270" s="531"/>
      <c r="N270" s="531"/>
      <c r="O270" s="531"/>
      <c r="P270" s="531"/>
      <c r="Q270" s="531"/>
      <c r="R270" s="531"/>
      <c r="S270" s="531"/>
    </row>
    <row r="271" spans="1:19" s="1" customFormat="1" ht="13" customHeight="1">
      <c r="A271" s="224"/>
      <c r="B271" s="233"/>
      <c r="C271" s="527" t="s">
        <v>306</v>
      </c>
      <c r="D271" s="21">
        <f>Tragwerk!$M$60</f>
        <v>4.7057430951337125</v>
      </c>
      <c r="E271" s="19" t="s">
        <v>2</v>
      </c>
      <c r="F271" s="17"/>
      <c r="G271" s="527" t="s">
        <v>75</v>
      </c>
      <c r="H271" s="527"/>
      <c r="I271" s="527"/>
      <c r="J271" s="527"/>
      <c r="K271" s="224"/>
      <c r="L271" s="531"/>
      <c r="M271" s="531"/>
      <c r="N271" s="531"/>
      <c r="O271" s="531"/>
      <c r="P271" s="531"/>
      <c r="Q271" s="531"/>
      <c r="R271" s="531"/>
      <c r="S271" s="531"/>
    </row>
    <row r="272" spans="1:19" s="1" customFormat="1" ht="13" customHeight="1">
      <c r="A272" s="224"/>
      <c r="B272" s="17"/>
      <c r="C272" s="25" t="s">
        <v>122</v>
      </c>
      <c r="D272" s="26">
        <f>D271/D270</f>
        <v>7.9426853207482176E-2</v>
      </c>
      <c r="E272" s="520" t="s">
        <v>7</v>
      </c>
      <c r="F272" s="27"/>
      <c r="G272" s="24" t="s">
        <v>46</v>
      </c>
      <c r="H272" s="527"/>
      <c r="I272" s="527"/>
      <c r="J272" s="527"/>
      <c r="K272" s="224"/>
      <c r="L272" s="531"/>
      <c r="M272" s="531"/>
      <c r="N272" s="531"/>
      <c r="O272" s="531"/>
      <c r="P272" s="531"/>
      <c r="Q272" s="531"/>
      <c r="R272" s="531"/>
      <c r="S272" s="531"/>
    </row>
    <row r="273" spans="1:19" s="1" customFormat="1" ht="6.8" customHeight="1">
      <c r="A273" s="4"/>
      <c r="B273" s="240"/>
      <c r="C273" s="240"/>
      <c r="D273" s="240"/>
      <c r="E273" s="240"/>
      <c r="F273" s="240"/>
      <c r="G273" s="240"/>
      <c r="H273" s="240"/>
      <c r="I273" s="240"/>
      <c r="J273" s="240"/>
      <c r="K273" s="4"/>
      <c r="L273" s="531"/>
      <c r="M273" s="531"/>
      <c r="N273" s="531"/>
      <c r="O273" s="531"/>
      <c r="P273" s="531"/>
      <c r="Q273" s="531"/>
      <c r="R273" s="531"/>
      <c r="S273" s="531"/>
    </row>
    <row r="274" spans="1:19" s="1" customFormat="1" ht="13" customHeight="1">
      <c r="A274" s="17"/>
      <c r="B274" s="233" t="s">
        <v>8</v>
      </c>
      <c r="C274" s="19"/>
      <c r="D274" s="19"/>
      <c r="E274" s="17"/>
      <c r="F274" s="17"/>
      <c r="G274" s="527"/>
      <c r="H274" s="527"/>
      <c r="I274" s="527"/>
      <c r="J274" s="527"/>
      <c r="K274" s="17"/>
      <c r="L274" s="531"/>
      <c r="M274" s="531"/>
      <c r="N274" s="531"/>
      <c r="O274" s="531"/>
      <c r="P274" s="531"/>
      <c r="Q274" s="531"/>
      <c r="R274" s="531"/>
      <c r="S274" s="531"/>
    </row>
    <row r="275" spans="1:19" s="1" customFormat="1" ht="14.25" customHeight="1">
      <c r="A275" s="17"/>
      <c r="B275" s="17"/>
      <c r="C275" s="527" t="s">
        <v>78</v>
      </c>
      <c r="D275" s="18">
        <f>INDEX(Tragwerk!M41:O41,1,MATCH(Eingabe!$C$4,Tragwerk!$M$14:$O$14))</f>
        <v>80.007519646593167</v>
      </c>
      <c r="E275" s="19" t="s">
        <v>2</v>
      </c>
      <c r="F275" s="17"/>
      <c r="G275" s="527" t="s">
        <v>1324</v>
      </c>
      <c r="H275" s="527"/>
      <c r="I275" s="527"/>
      <c r="J275" s="527"/>
      <c r="K275" s="17"/>
      <c r="L275" s="531"/>
      <c r="M275" s="531"/>
      <c r="N275" s="531"/>
      <c r="O275" s="531"/>
      <c r="P275" s="531"/>
      <c r="Q275" s="531"/>
      <c r="R275" s="531"/>
      <c r="S275" s="531"/>
    </row>
    <row r="276" spans="1:19" s="1" customFormat="1" ht="14.25" customHeight="1">
      <c r="A276" s="17"/>
      <c r="B276" s="17"/>
      <c r="C276" s="527" t="s">
        <v>79</v>
      </c>
      <c r="D276" s="19">
        <f>INDEX(Tragwerk!M42:O42,1,MATCH(Eingabe!$C$4,Tragwerk!$M$14:$O$14))</f>
        <v>176400</v>
      </c>
      <c r="E276" s="19" t="s">
        <v>16</v>
      </c>
      <c r="F276" s="17"/>
      <c r="G276" s="527" t="s">
        <v>1324</v>
      </c>
      <c r="H276" s="527"/>
      <c r="I276" s="527"/>
      <c r="J276" s="527"/>
      <c r="K276" s="17"/>
      <c r="L276" s="531"/>
      <c r="M276" s="531"/>
      <c r="N276" s="531"/>
      <c r="O276" s="531"/>
      <c r="P276" s="531"/>
      <c r="Q276" s="531"/>
      <c r="R276" s="531"/>
      <c r="S276" s="531"/>
    </row>
    <row r="277" spans="1:19" s="1" customFormat="1" ht="13" customHeight="1">
      <c r="A277" s="17"/>
      <c r="B277" s="17"/>
      <c r="C277" s="527" t="s">
        <v>80</v>
      </c>
      <c r="D277" s="19">
        <f>INDEX(Tragwerk!M43:O43,1,MATCH(Eingabe!$C$4,Tragwerk!$M$14:$O$14))</f>
        <v>142800</v>
      </c>
      <c r="E277" s="19" t="s">
        <v>16</v>
      </c>
      <c r="F277" s="17"/>
      <c r="G277" s="527" t="s">
        <v>1324</v>
      </c>
      <c r="H277" s="527"/>
      <c r="I277" s="527"/>
      <c r="J277" s="527"/>
      <c r="K277" s="17"/>
      <c r="L277" s="531"/>
      <c r="M277" s="531"/>
      <c r="N277" s="531"/>
      <c r="O277" s="531"/>
      <c r="P277" s="531"/>
      <c r="Q277" s="531"/>
      <c r="R277" s="531"/>
      <c r="S277" s="531"/>
    </row>
    <row r="278" spans="1:19" s="1" customFormat="1" ht="13" customHeight="1">
      <c r="A278" s="17"/>
      <c r="B278" s="17"/>
      <c r="C278" s="23" t="s">
        <v>81</v>
      </c>
      <c r="D278" s="21">
        <f>INDEX(Tragwerk!M44:O44,1,MATCH(Eingabe!$C$4,Tragwerk!$M$14:$O$14))</f>
        <v>1</v>
      </c>
      <c r="E278" s="19" t="s">
        <v>7</v>
      </c>
      <c r="F278" s="17"/>
      <c r="G278" s="527" t="s">
        <v>1324</v>
      </c>
      <c r="H278" s="527"/>
      <c r="I278" s="527"/>
      <c r="J278" s="527"/>
      <c r="K278" s="17"/>
      <c r="L278" s="531"/>
      <c r="M278" s="531"/>
      <c r="N278" s="531"/>
      <c r="O278" s="531"/>
      <c r="P278" s="531"/>
      <c r="Q278" s="531"/>
      <c r="R278" s="531"/>
      <c r="S278" s="531"/>
    </row>
    <row r="279" spans="1:19" s="1" customFormat="1" ht="13" customHeight="1">
      <c r="A279" s="17"/>
      <c r="B279" s="17"/>
      <c r="C279" s="23" t="s">
        <v>82</v>
      </c>
      <c r="D279" s="21">
        <f>INDEX(Tragwerk!M45:O45,1,MATCH(Eingabe!$C$4,Tragwerk!$M$14:$O$14))</f>
        <v>1</v>
      </c>
      <c r="E279" s="19" t="s">
        <v>7</v>
      </c>
      <c r="F279" s="17"/>
      <c r="G279" s="527" t="s">
        <v>1324</v>
      </c>
      <c r="H279" s="527"/>
      <c r="I279" s="527"/>
      <c r="J279" s="527"/>
      <c r="K279" s="17"/>
      <c r="L279" s="531"/>
      <c r="M279" s="531"/>
      <c r="N279" s="531"/>
      <c r="O279" s="531"/>
      <c r="P279" s="531"/>
      <c r="Q279" s="531"/>
      <c r="R279" s="531"/>
      <c r="S279" s="531"/>
    </row>
    <row r="280" spans="1:19" s="1" customFormat="1" ht="13" customHeight="1">
      <c r="A280" s="17"/>
      <c r="B280" s="17"/>
      <c r="C280" s="23" t="s">
        <v>83</v>
      </c>
      <c r="D280" s="21">
        <f>INDEX(Tragwerk!M46:O46,1,MATCH(Eingabe!$C$4,Tragwerk!$M$14:$O$14))</f>
        <v>1</v>
      </c>
      <c r="E280" s="19" t="s">
        <v>7</v>
      </c>
      <c r="F280" s="17"/>
      <c r="G280" s="527" t="s">
        <v>1324</v>
      </c>
      <c r="H280" s="527"/>
      <c r="I280" s="527"/>
      <c r="J280" s="527"/>
      <c r="K280" s="17"/>
      <c r="L280" s="531"/>
      <c r="M280" s="531"/>
      <c r="N280" s="531"/>
      <c r="O280" s="531"/>
      <c r="P280" s="531"/>
      <c r="Q280" s="531"/>
      <c r="R280" s="531"/>
      <c r="S280" s="531"/>
    </row>
    <row r="281" spans="1:19" s="1" customFormat="1" ht="13" customHeight="1">
      <c r="A281" s="17"/>
      <c r="B281" s="17"/>
      <c r="C281" s="527" t="s">
        <v>77</v>
      </c>
      <c r="D281" s="18">
        <f>INDEX(Tragwerk!M48:O48,1,MATCH(Eingabe!$C$4,Tragwerk!$M$14:$O$14))</f>
        <v>64.767992094861128</v>
      </c>
      <c r="E281" s="19" t="s">
        <v>2</v>
      </c>
      <c r="F281" s="17"/>
      <c r="G281" s="527" t="s">
        <v>1324</v>
      </c>
      <c r="H281" s="527"/>
      <c r="I281" s="527"/>
      <c r="J281" s="527"/>
      <c r="K281" s="17"/>
      <c r="L281" s="531"/>
      <c r="M281" s="531"/>
      <c r="N281" s="531"/>
      <c r="O281" s="531"/>
      <c r="P281" s="531"/>
      <c r="Q281" s="531"/>
      <c r="R281" s="531"/>
      <c r="S281" s="531"/>
    </row>
    <row r="282" spans="1:19" s="1" customFormat="1" ht="13" customHeight="1">
      <c r="A282" s="17"/>
      <c r="B282" s="17"/>
      <c r="C282" s="17" t="s">
        <v>12</v>
      </c>
      <c r="D282" s="21">
        <f>Tragwerk!$M$49</f>
        <v>1.2</v>
      </c>
      <c r="E282" s="19" t="s">
        <v>7</v>
      </c>
      <c r="F282" s="17"/>
      <c r="G282" s="527" t="s">
        <v>1324</v>
      </c>
      <c r="H282" s="527"/>
      <c r="I282" s="527"/>
      <c r="J282" s="527"/>
      <c r="K282" s="17"/>
      <c r="L282" s="531"/>
      <c r="M282" s="531"/>
      <c r="N282" s="531"/>
      <c r="O282" s="531"/>
      <c r="P282" s="531"/>
      <c r="Q282" s="531"/>
      <c r="R282" s="531"/>
      <c r="S282" s="531"/>
    </row>
    <row r="283" spans="1:19" s="1" customFormat="1" ht="13" customHeight="1">
      <c r="A283" s="17"/>
      <c r="B283" s="17"/>
      <c r="C283" s="527" t="s">
        <v>71</v>
      </c>
      <c r="D283" s="18">
        <f>INDEX(Tragwerk!M50:O50,1,MATCH(Eingabe!$C$4,Tragwerk!$M$14:$O$14))</f>
        <v>53.973326745717607</v>
      </c>
      <c r="E283" s="19" t="s">
        <v>2</v>
      </c>
      <c r="F283" s="17"/>
      <c r="G283" s="527" t="s">
        <v>73</v>
      </c>
      <c r="H283" s="527"/>
      <c r="I283" s="527"/>
      <c r="J283" s="527"/>
      <c r="K283" s="17"/>
      <c r="L283" s="531"/>
      <c r="M283" s="531"/>
      <c r="N283" s="531"/>
      <c r="O283" s="531"/>
      <c r="P283" s="531"/>
      <c r="Q283" s="531"/>
      <c r="R283" s="531"/>
      <c r="S283" s="531"/>
    </row>
    <row r="284" spans="1:19" s="1" customFormat="1" ht="13" customHeight="1">
      <c r="A284" s="17"/>
      <c r="B284" s="17"/>
      <c r="C284" s="527" t="s">
        <v>306</v>
      </c>
      <c r="D284" s="21">
        <f>Tragwerk!$M$60</f>
        <v>4.7057430951337125</v>
      </c>
      <c r="E284" s="19" t="s">
        <v>2</v>
      </c>
      <c r="F284" s="17"/>
      <c r="G284" s="527" t="s">
        <v>75</v>
      </c>
      <c r="H284" s="527"/>
      <c r="I284" s="527"/>
      <c r="J284" s="527"/>
      <c r="K284" s="17"/>
      <c r="L284" s="531"/>
      <c r="M284" s="531"/>
      <c r="N284" s="531"/>
      <c r="O284" s="531"/>
      <c r="P284" s="531"/>
      <c r="Q284" s="531"/>
      <c r="R284" s="531"/>
      <c r="S284" s="531"/>
    </row>
    <row r="285" spans="1:19" s="1" customFormat="1" ht="13" customHeight="1">
      <c r="A285" s="17"/>
      <c r="B285" s="17"/>
      <c r="C285" s="25" t="s">
        <v>89</v>
      </c>
      <c r="D285" s="26">
        <f>D284/D283</f>
        <v>8.7186456326912978E-2</v>
      </c>
      <c r="E285" s="520" t="s">
        <v>7</v>
      </c>
      <c r="F285" s="27"/>
      <c r="G285" s="24" t="s">
        <v>46</v>
      </c>
      <c r="H285" s="527"/>
      <c r="I285" s="527"/>
      <c r="J285" s="527"/>
      <c r="K285" s="17"/>
      <c r="L285" s="531"/>
      <c r="M285" s="531"/>
      <c r="N285" s="531"/>
      <c r="O285" s="531"/>
      <c r="P285" s="531"/>
      <c r="Q285" s="531"/>
      <c r="R285" s="531"/>
      <c r="S285" s="531"/>
    </row>
    <row r="286" spans="1:19" s="1" customFormat="1" ht="6.8" customHeight="1">
      <c r="A286" s="4"/>
      <c r="B286" s="240"/>
      <c r="C286" s="240"/>
      <c r="D286" s="240"/>
      <c r="E286" s="240"/>
      <c r="F286" s="240"/>
      <c r="G286" s="240"/>
      <c r="H286" s="240"/>
      <c r="I286" s="240"/>
      <c r="J286" s="240"/>
      <c r="K286" s="4"/>
      <c r="L286" s="531"/>
      <c r="M286" s="531"/>
      <c r="N286" s="531"/>
      <c r="O286" s="531"/>
      <c r="P286" s="531"/>
      <c r="Q286" s="531"/>
      <c r="R286" s="531"/>
      <c r="S286" s="531"/>
    </row>
    <row r="287" spans="1:19" s="1" customFormat="1" ht="13" customHeight="1">
      <c r="A287" s="1032" t="s">
        <v>513</v>
      </c>
      <c r="B287" s="1032"/>
      <c r="C287" s="1032"/>
      <c r="D287" s="1032"/>
      <c r="E287" s="1032"/>
      <c r="F287" s="1032"/>
      <c r="G287" s="1032"/>
      <c r="H287" s="1032"/>
      <c r="I287" s="1032"/>
      <c r="J287" s="1032"/>
      <c r="K287" s="520"/>
      <c r="L287" s="531"/>
      <c r="M287" s="531"/>
      <c r="N287" s="531"/>
      <c r="O287" s="531"/>
      <c r="P287" s="531"/>
      <c r="Q287" s="531"/>
      <c r="R287" s="531"/>
      <c r="S287" s="531"/>
    </row>
    <row r="288" spans="1:19" s="1" customFormat="1" ht="13" customHeight="1">
      <c r="A288" s="527"/>
      <c r="B288" s="235" t="s">
        <v>120</v>
      </c>
      <c r="C288" s="236"/>
      <c r="D288" s="527"/>
      <c r="E288" s="527"/>
      <c r="F288" s="527"/>
      <c r="G288" s="527"/>
      <c r="H288" s="527"/>
      <c r="I288" s="527"/>
      <c r="J288" s="527"/>
      <c r="K288" s="225"/>
      <c r="L288" s="531"/>
      <c r="M288" s="531"/>
      <c r="N288" s="531"/>
      <c r="O288" s="531"/>
      <c r="P288" s="531"/>
      <c r="Q288" s="531"/>
      <c r="R288" s="531"/>
      <c r="S288" s="531"/>
    </row>
    <row r="289" spans="1:19" s="1" customFormat="1" ht="13" customHeight="1">
      <c r="A289" s="527"/>
      <c r="B289" s="17"/>
      <c r="C289" s="527" t="s">
        <v>118</v>
      </c>
      <c r="D289" s="18">
        <f>INDEX(Tragwerk!M65:O65,1,MATCH(Eingabe!$C$4,Tragwerk!$M$14:$O$14))</f>
        <v>757.99758981340312</v>
      </c>
      <c r="E289" s="19" t="s">
        <v>119</v>
      </c>
      <c r="F289" s="17"/>
      <c r="G289" s="527" t="s">
        <v>362</v>
      </c>
      <c r="H289" s="527"/>
      <c r="I289" s="527"/>
      <c r="J289" s="527"/>
      <c r="K289" s="225"/>
      <c r="L289" s="531"/>
      <c r="M289" s="531"/>
      <c r="N289" s="531"/>
      <c r="O289" s="531"/>
      <c r="P289" s="531"/>
      <c r="Q289" s="531"/>
      <c r="R289" s="531"/>
      <c r="S289" s="531"/>
    </row>
    <row r="290" spans="1:19" s="1" customFormat="1" ht="13" customHeight="1">
      <c r="A290" s="527"/>
      <c r="B290" s="17"/>
      <c r="C290" s="17" t="s">
        <v>3</v>
      </c>
      <c r="D290" s="21">
        <f>Tragwerk!$M$66</f>
        <v>1.56</v>
      </c>
      <c r="E290" s="19" t="s">
        <v>7</v>
      </c>
      <c r="F290" s="17"/>
      <c r="G290" s="527" t="s">
        <v>359</v>
      </c>
      <c r="H290" s="527"/>
      <c r="I290" s="527"/>
      <c r="J290" s="527"/>
      <c r="K290" s="225"/>
      <c r="L290" s="531"/>
      <c r="M290" s="531"/>
      <c r="N290" s="531"/>
      <c r="O290" s="531"/>
      <c r="P290" s="531"/>
      <c r="Q290" s="531"/>
      <c r="R290" s="531"/>
      <c r="S290" s="531"/>
    </row>
    <row r="291" spans="1:19" s="1" customFormat="1" ht="13" customHeight="1">
      <c r="A291" s="527"/>
      <c r="B291" s="17"/>
      <c r="C291" s="527" t="s">
        <v>65</v>
      </c>
      <c r="D291" s="21">
        <f>INDEX(Tragwerk!M67:O67,1,MATCH(Eingabe!$C$4,Tragwerk!$M$14:$O$14))</f>
        <v>30.368493181626725</v>
      </c>
      <c r="E291" s="19" t="s">
        <v>2</v>
      </c>
      <c r="F291" s="17"/>
      <c r="G291" s="527" t="s">
        <v>73</v>
      </c>
      <c r="H291" s="527"/>
      <c r="I291" s="527"/>
      <c r="J291" s="527"/>
      <c r="K291" s="225"/>
      <c r="L291" s="531"/>
      <c r="M291" s="531"/>
      <c r="N291" s="531"/>
      <c r="O291" s="531"/>
      <c r="P291" s="531"/>
      <c r="Q291" s="531"/>
      <c r="R291" s="531"/>
      <c r="S291" s="531"/>
    </row>
    <row r="292" spans="1:19" s="1" customFormat="1" ht="13" customHeight="1">
      <c r="A292" s="527"/>
      <c r="B292" s="17"/>
      <c r="C292" s="527" t="s">
        <v>86</v>
      </c>
      <c r="D292" s="21">
        <f>Tragwerk!$M$68</f>
        <v>29.921271248249965</v>
      </c>
      <c r="E292" s="19" t="s">
        <v>2</v>
      </c>
      <c r="F292" s="17"/>
      <c r="G292" s="527" t="s">
        <v>75</v>
      </c>
      <c r="H292" s="527"/>
      <c r="I292" s="527"/>
      <c r="J292" s="527"/>
      <c r="K292" s="225"/>
      <c r="L292" s="531"/>
      <c r="M292" s="531"/>
      <c r="N292" s="531"/>
      <c r="O292" s="531"/>
      <c r="P292" s="531"/>
      <c r="Q292" s="531"/>
      <c r="R292" s="531"/>
      <c r="S292" s="531"/>
    </row>
    <row r="293" spans="1:19" s="1" customFormat="1" ht="13" customHeight="1">
      <c r="A293" s="527"/>
      <c r="B293" s="17"/>
      <c r="C293" s="25" t="s">
        <v>90</v>
      </c>
      <c r="D293" s="26">
        <f>D292/D291</f>
        <v>0.98527348951092064</v>
      </c>
      <c r="E293" s="520" t="s">
        <v>7</v>
      </c>
      <c r="F293" s="27"/>
      <c r="G293" s="24" t="s">
        <v>46</v>
      </c>
      <c r="H293" s="527"/>
      <c r="I293" s="527"/>
      <c r="J293" s="527"/>
      <c r="K293" s="225"/>
      <c r="L293" s="531"/>
      <c r="M293" s="531"/>
      <c r="N293" s="531"/>
      <c r="O293" s="531"/>
      <c r="P293" s="531"/>
      <c r="Q293" s="531"/>
      <c r="R293" s="531"/>
      <c r="S293" s="531"/>
    </row>
    <row r="294" spans="1:19" s="1" customFormat="1" ht="6.8" customHeight="1">
      <c r="A294" s="4"/>
      <c r="B294" s="240"/>
      <c r="C294" s="240"/>
      <c r="D294" s="240"/>
      <c r="E294" s="240"/>
      <c r="F294" s="240"/>
      <c r="G294" s="240"/>
      <c r="H294" s="240"/>
      <c r="I294" s="240"/>
      <c r="J294" s="240"/>
      <c r="K294" s="228"/>
      <c r="L294" s="531"/>
      <c r="M294" s="531"/>
      <c r="N294" s="531"/>
      <c r="O294" s="531"/>
      <c r="P294" s="531"/>
      <c r="Q294" s="531"/>
      <c r="R294" s="531"/>
      <c r="S294" s="531"/>
    </row>
    <row r="295" spans="1:19" s="1" customFormat="1" ht="13" customHeight="1">
      <c r="A295" s="527"/>
      <c r="B295" s="238" t="s">
        <v>9</v>
      </c>
      <c r="C295" s="17"/>
      <c r="D295" s="17"/>
      <c r="E295" s="17"/>
      <c r="F295" s="527"/>
      <c r="G295" s="527"/>
      <c r="H295" s="527"/>
      <c r="I295" s="527"/>
      <c r="J295" s="527"/>
      <c r="K295" s="225"/>
      <c r="L295" s="531"/>
      <c r="M295" s="531"/>
      <c r="N295" s="531"/>
      <c r="O295" s="531"/>
      <c r="P295" s="531"/>
      <c r="Q295" s="531"/>
      <c r="R295" s="531"/>
      <c r="S295" s="531"/>
    </row>
    <row r="296" spans="1:19" s="1" customFormat="1" ht="13" customHeight="1">
      <c r="A296" s="527"/>
      <c r="B296" s="17"/>
      <c r="C296" s="4" t="s">
        <v>10</v>
      </c>
      <c r="D296" s="18">
        <f>Tragwerk!$M$71</f>
        <v>2.5</v>
      </c>
      <c r="E296" s="19" t="s">
        <v>7</v>
      </c>
      <c r="F296" s="17"/>
      <c r="G296" s="17" t="s">
        <v>363</v>
      </c>
      <c r="H296" s="527"/>
      <c r="I296" s="527"/>
      <c r="J296" s="527"/>
      <c r="K296" s="527"/>
      <c r="L296" s="531"/>
      <c r="M296" s="531"/>
      <c r="N296" s="531"/>
      <c r="O296" s="531"/>
      <c r="P296" s="531"/>
      <c r="Q296" s="531"/>
      <c r="R296" s="531"/>
      <c r="S296" s="531"/>
    </row>
    <row r="297" spans="1:19" s="1" customFormat="1" ht="13" customHeight="1">
      <c r="A297" s="17"/>
      <c r="B297" s="17"/>
      <c r="C297" s="527" t="s">
        <v>18</v>
      </c>
      <c r="D297" s="18">
        <f>INDEX(Tragwerk!M72:O72,1,MATCH(Eingabe!$C$4,Tragwerk!$M$14:$O$14))</f>
        <v>161.91998023715283</v>
      </c>
      <c r="E297" s="237" t="s">
        <v>2</v>
      </c>
      <c r="F297" s="17"/>
      <c r="G297" s="17" t="s">
        <v>1324</v>
      </c>
      <c r="H297" s="14"/>
      <c r="I297" s="14"/>
      <c r="J297" s="14"/>
      <c r="K297" s="17"/>
      <c r="L297" s="531"/>
      <c r="M297" s="531"/>
      <c r="N297" s="531"/>
      <c r="O297" s="531"/>
      <c r="P297" s="531"/>
      <c r="Q297" s="531"/>
      <c r="R297" s="531"/>
      <c r="S297" s="531"/>
    </row>
    <row r="298" spans="1:19" s="1" customFormat="1" ht="13" customHeight="1">
      <c r="A298" s="17"/>
      <c r="B298" s="17"/>
      <c r="C298" s="17" t="s">
        <v>12</v>
      </c>
      <c r="D298" s="21">
        <f>Tragwerk!$M$73</f>
        <v>1.2</v>
      </c>
      <c r="E298" s="19" t="s">
        <v>7</v>
      </c>
      <c r="F298" s="17"/>
      <c r="G298" s="527" t="s">
        <v>1324</v>
      </c>
      <c r="H298" s="527"/>
      <c r="I298" s="18"/>
      <c r="J298" s="17"/>
      <c r="K298" s="17"/>
      <c r="L298" s="531"/>
      <c r="M298" s="531"/>
      <c r="N298" s="531"/>
      <c r="O298" s="531"/>
      <c r="P298" s="531"/>
      <c r="Q298" s="531"/>
      <c r="R298" s="531"/>
      <c r="S298" s="531"/>
    </row>
    <row r="299" spans="1:19" s="1" customFormat="1" ht="13" customHeight="1">
      <c r="A299" s="17"/>
      <c r="B299" s="17"/>
      <c r="C299" s="17" t="s">
        <v>72</v>
      </c>
      <c r="D299" s="18">
        <f>INDEX(Tragwerk!M74:O74,1,MATCH(Eingabe!$C$4,Tragwerk!$M$14:$O$14))</f>
        <v>134.93331686429403</v>
      </c>
      <c r="E299" s="19" t="s">
        <v>2</v>
      </c>
      <c r="F299" s="17"/>
      <c r="G299" s="527" t="s">
        <v>73</v>
      </c>
      <c r="H299" s="527"/>
      <c r="I299" s="18"/>
      <c r="J299" s="17"/>
      <c r="K299" s="17"/>
      <c r="L299" s="531"/>
      <c r="M299" s="531"/>
      <c r="N299" s="531"/>
      <c r="O299" s="531"/>
      <c r="P299" s="531"/>
      <c r="Q299" s="531"/>
      <c r="R299" s="531"/>
      <c r="S299" s="531"/>
    </row>
    <row r="300" spans="1:19" s="1" customFormat="1" ht="13" customHeight="1">
      <c r="A300" s="17"/>
      <c r="B300" s="17"/>
      <c r="C300" s="527" t="s">
        <v>307</v>
      </c>
      <c r="D300" s="18">
        <f>Tragwerk!$M$68</f>
        <v>29.921271248249965</v>
      </c>
      <c r="E300" s="19" t="s">
        <v>2</v>
      </c>
      <c r="F300" s="17"/>
      <c r="G300" s="527" t="s">
        <v>75</v>
      </c>
      <c r="H300" s="527"/>
      <c r="I300" s="18"/>
      <c r="J300" s="17"/>
      <c r="K300" s="17"/>
      <c r="L300" s="531"/>
      <c r="M300" s="531"/>
      <c r="N300" s="531"/>
      <c r="O300" s="531"/>
      <c r="P300" s="531"/>
      <c r="Q300" s="531"/>
      <c r="R300" s="531"/>
      <c r="S300" s="531"/>
    </row>
    <row r="301" spans="1:19" s="1" customFormat="1" ht="13" customHeight="1">
      <c r="A301" s="17"/>
      <c r="B301" s="17"/>
      <c r="C301" s="25" t="s">
        <v>91</v>
      </c>
      <c r="D301" s="26">
        <f>D300/D299</f>
        <v>0.22174857880609702</v>
      </c>
      <c r="E301" s="520" t="s">
        <v>7</v>
      </c>
      <c r="F301" s="27"/>
      <c r="G301" s="24" t="s">
        <v>46</v>
      </c>
      <c r="H301" s="527"/>
      <c r="I301" s="18"/>
      <c r="J301" s="17"/>
      <c r="K301" s="17"/>
      <c r="L301" s="531"/>
      <c r="M301" s="531"/>
      <c r="N301" s="531"/>
      <c r="O301" s="531"/>
      <c r="P301" s="531"/>
      <c r="Q301" s="531"/>
      <c r="R301" s="531"/>
      <c r="S301" s="531"/>
    </row>
    <row r="302" spans="1:19" s="436" customFormat="1" ht="5.9" customHeight="1">
      <c r="A302" s="17"/>
      <c r="B302" s="17"/>
      <c r="C302" s="25"/>
      <c r="D302" s="26"/>
      <c r="E302" s="520"/>
      <c r="F302" s="27"/>
      <c r="G302" s="24"/>
      <c r="H302" s="527"/>
      <c r="I302" s="18"/>
      <c r="J302" s="17"/>
      <c r="K302" s="17"/>
      <c r="L302" s="531"/>
      <c r="M302" s="531"/>
      <c r="N302" s="531"/>
      <c r="O302" s="531"/>
      <c r="P302" s="531"/>
      <c r="Q302" s="531"/>
      <c r="R302" s="531"/>
      <c r="S302" s="531"/>
    </row>
    <row r="303" spans="1:19" s="436" customFormat="1" ht="13" customHeight="1">
      <c r="A303" s="17"/>
      <c r="B303" s="238" t="s">
        <v>11</v>
      </c>
      <c r="C303" s="25"/>
      <c r="D303" s="451"/>
      <c r="E303" s="452"/>
      <c r="F303" s="453"/>
      <c r="G303" s="454"/>
      <c r="H303" s="527"/>
      <c r="I303" s="18"/>
      <c r="J303" s="17"/>
      <c r="K303" s="17"/>
      <c r="L303" s="531"/>
      <c r="M303" s="531"/>
      <c r="N303" s="531"/>
      <c r="O303" s="531"/>
      <c r="P303" s="531"/>
      <c r="Q303" s="531"/>
      <c r="R303" s="531"/>
      <c r="S303" s="531"/>
    </row>
    <row r="304" spans="1:19" s="436" customFormat="1" ht="13" customHeight="1">
      <c r="A304" s="17"/>
      <c r="B304" s="17"/>
      <c r="C304" s="234" t="s">
        <v>21</v>
      </c>
      <c r="D304" s="450">
        <f>INDEX(Tragwerk!M76:O76,1,MATCH(Eingabe!$C$4,Tragwerk!$B$14:$D$14))</f>
        <v>3.4156502553198659E-2</v>
      </c>
      <c r="E304" s="19" t="s">
        <v>7</v>
      </c>
      <c r="F304" s="453"/>
      <c r="G304" s="527" t="s">
        <v>1324</v>
      </c>
      <c r="H304" s="527"/>
      <c r="I304" s="18"/>
      <c r="J304" s="17"/>
      <c r="K304" s="17"/>
      <c r="L304" s="531"/>
      <c r="M304" s="531"/>
      <c r="N304" s="531"/>
      <c r="O304" s="531"/>
      <c r="P304" s="531"/>
      <c r="Q304" s="531"/>
      <c r="R304" s="531"/>
      <c r="S304" s="531"/>
    </row>
    <row r="305" spans="1:19" s="436" customFormat="1" ht="13" customHeight="1">
      <c r="A305" s="17"/>
      <c r="B305" s="17"/>
      <c r="C305" s="234" t="s">
        <v>134</v>
      </c>
      <c r="D305" s="450">
        <f>INDEX(Tragwerk!M77:O77,1,MATCH(Eingabe!$C$4,Tragwerk!$B$14:$D$14))</f>
        <v>4.573050519273264E-2</v>
      </c>
      <c r="E305" s="19" t="s">
        <v>7</v>
      </c>
      <c r="F305" s="453"/>
      <c r="G305" s="527" t="s">
        <v>1324</v>
      </c>
      <c r="H305" s="527"/>
      <c r="I305" s="18"/>
      <c r="J305" s="17"/>
      <c r="K305" s="17"/>
      <c r="L305" s="531"/>
      <c r="M305" s="531"/>
      <c r="N305" s="531"/>
      <c r="O305" s="531"/>
      <c r="P305" s="531"/>
      <c r="Q305" s="531"/>
      <c r="R305" s="531"/>
      <c r="S305" s="531"/>
    </row>
    <row r="306" spans="1:19" s="436" customFormat="1" ht="14.25" customHeight="1">
      <c r="A306" s="17"/>
      <c r="B306" s="17"/>
      <c r="C306" s="234" t="s">
        <v>481</v>
      </c>
      <c r="D306" s="18">
        <f>INDEX(Tragwerk!M78:O78,1,MATCH(Eingabe!$C$4,Tragwerk!$B$14:$D$14))</f>
        <v>662.3899818033774</v>
      </c>
      <c r="E306" s="19" t="s">
        <v>2</v>
      </c>
      <c r="F306" s="453"/>
      <c r="G306" s="527" t="s">
        <v>1324</v>
      </c>
      <c r="H306" s="527"/>
      <c r="I306" s="18"/>
      <c r="J306" s="17"/>
      <c r="K306" s="17"/>
      <c r="L306" s="531"/>
      <c r="M306" s="531"/>
      <c r="N306" s="531"/>
      <c r="O306" s="531"/>
      <c r="P306" s="531"/>
      <c r="Q306" s="531"/>
      <c r="R306" s="531"/>
      <c r="S306" s="531"/>
    </row>
    <row r="307" spans="1:19" s="436" customFormat="1" ht="14.25" customHeight="1">
      <c r="A307" s="17"/>
      <c r="B307" s="17"/>
      <c r="C307" s="234" t="s">
        <v>482</v>
      </c>
      <c r="D307" s="20">
        <f>INDEX(Tragwerk!M79:O79,1,MATCH(Eingabe!$C$4,Tragwerk!$B$14:$D$14))</f>
        <v>6480000</v>
      </c>
      <c r="E307" s="19" t="s">
        <v>16</v>
      </c>
      <c r="F307" s="453"/>
      <c r="G307" s="527" t="s">
        <v>1324</v>
      </c>
      <c r="H307" s="527"/>
      <c r="I307" s="18"/>
      <c r="J307" s="17"/>
      <c r="K307" s="17"/>
      <c r="L307" s="531"/>
      <c r="M307" s="531"/>
      <c r="N307" s="531"/>
      <c r="O307" s="531"/>
      <c r="P307" s="531"/>
      <c r="Q307" s="531"/>
      <c r="R307" s="531"/>
      <c r="S307" s="531"/>
    </row>
    <row r="308" spans="1:19" s="436" customFormat="1" ht="13" customHeight="1">
      <c r="A308" s="17"/>
      <c r="B308" s="17"/>
      <c r="C308" s="234" t="s">
        <v>483</v>
      </c>
      <c r="D308" s="20">
        <f>INDEX(Tragwerk!M80:O80,1,MATCH(Eingabe!$C$4,Tragwerk!$B$14:$D$14))</f>
        <v>720000</v>
      </c>
      <c r="E308" s="19" t="s">
        <v>16</v>
      </c>
      <c r="F308" s="453"/>
      <c r="G308" s="527" t="s">
        <v>1324</v>
      </c>
      <c r="H308" s="527"/>
      <c r="I308" s="18"/>
      <c r="J308" s="17"/>
      <c r="K308" s="17"/>
      <c r="L308" s="531"/>
      <c r="M308" s="531"/>
      <c r="N308" s="531"/>
      <c r="O308" s="531"/>
      <c r="P308" s="531"/>
      <c r="Q308" s="531"/>
      <c r="R308" s="531"/>
      <c r="S308" s="531"/>
    </row>
    <row r="309" spans="1:19" s="436" customFormat="1" ht="13" customHeight="1">
      <c r="A309" s="17"/>
      <c r="B309" s="17"/>
      <c r="C309" s="234" t="s">
        <v>485</v>
      </c>
      <c r="D309" s="21">
        <f>INDEX(Tragwerk!M82:O82,1,MATCH(Eingabe!$C$4,Tragwerk!$B$14:$D$14))</f>
        <v>3</v>
      </c>
      <c r="E309" s="19" t="s">
        <v>7</v>
      </c>
      <c r="F309" s="453"/>
      <c r="G309" s="527" t="s">
        <v>1324</v>
      </c>
      <c r="H309" s="527"/>
      <c r="I309" s="18"/>
      <c r="J309" s="17"/>
      <c r="K309" s="17"/>
      <c r="L309" s="531"/>
      <c r="M309" s="531"/>
      <c r="N309" s="531"/>
      <c r="O309" s="531"/>
      <c r="P309" s="531"/>
      <c r="Q309" s="531"/>
      <c r="R309" s="531"/>
      <c r="S309" s="531"/>
    </row>
    <row r="310" spans="1:19" s="436" customFormat="1" ht="13" customHeight="1">
      <c r="A310" s="17"/>
      <c r="B310" s="17"/>
      <c r="C310" s="234" t="s">
        <v>488</v>
      </c>
      <c r="D310" s="21">
        <f>Tragwerk!M85</f>
        <v>1.2</v>
      </c>
      <c r="E310" s="19" t="s">
        <v>7</v>
      </c>
      <c r="F310" s="453"/>
      <c r="G310" s="527" t="s">
        <v>1324</v>
      </c>
      <c r="H310" s="527"/>
      <c r="I310" s="18"/>
      <c r="J310" s="17"/>
      <c r="K310" s="17"/>
      <c r="L310" s="531"/>
      <c r="M310" s="531"/>
      <c r="N310" s="531"/>
      <c r="O310" s="531"/>
      <c r="P310" s="531"/>
      <c r="Q310" s="531"/>
      <c r="R310" s="531"/>
      <c r="S310" s="531"/>
    </row>
    <row r="311" spans="1:19" s="436" customFormat="1" ht="13" customHeight="1">
      <c r="A311" s="17"/>
      <c r="B311" s="17"/>
      <c r="C311" s="234" t="s">
        <v>489</v>
      </c>
      <c r="D311" s="21">
        <f>INDEX(Tragwerk!M86:O86,1,MATCH(Eingabe!$C$4,Tragwerk!$B$14:$D$14))</f>
        <v>264.95599272135092</v>
      </c>
      <c r="E311" s="19" t="s">
        <v>2</v>
      </c>
      <c r="F311" s="453"/>
      <c r="G311" s="527" t="s">
        <v>1324</v>
      </c>
      <c r="H311" s="527"/>
      <c r="I311" s="18"/>
      <c r="J311" s="17"/>
      <c r="K311" s="17"/>
      <c r="L311" s="531"/>
      <c r="M311" s="531"/>
      <c r="N311" s="531"/>
      <c r="O311" s="531"/>
      <c r="P311" s="531"/>
      <c r="Q311" s="531"/>
      <c r="R311" s="531"/>
      <c r="S311" s="531"/>
    </row>
    <row r="312" spans="1:19" s="436" customFormat="1" ht="13" customHeight="1">
      <c r="A312" s="17"/>
      <c r="B312" s="17"/>
      <c r="C312" s="234" t="s">
        <v>12</v>
      </c>
      <c r="D312" s="21">
        <f>Tragwerk!M87</f>
        <v>1.2</v>
      </c>
      <c r="E312" s="19" t="s">
        <v>7</v>
      </c>
      <c r="F312" s="453"/>
      <c r="G312" s="527" t="s">
        <v>1324</v>
      </c>
      <c r="H312" s="527"/>
      <c r="I312" s="18"/>
      <c r="J312" s="17"/>
      <c r="K312" s="17"/>
      <c r="L312" s="531"/>
      <c r="M312" s="531"/>
      <c r="N312" s="531"/>
      <c r="O312" s="531"/>
      <c r="P312" s="531"/>
      <c r="Q312" s="531"/>
      <c r="R312" s="531"/>
      <c r="S312" s="531"/>
    </row>
    <row r="313" spans="1:19" s="436" customFormat="1" ht="13" customHeight="1">
      <c r="A313" s="17"/>
      <c r="B313" s="17"/>
      <c r="C313" s="234" t="s">
        <v>507</v>
      </c>
      <c r="D313" s="21">
        <f>INDEX(Tragwerk!M88:O88,1,MATCH(Eingabe!$C$4,Tragwerk!$B$14:$D$14))</f>
        <v>220.79666060112578</v>
      </c>
      <c r="E313" s="19" t="s">
        <v>2</v>
      </c>
      <c r="F313" s="453"/>
      <c r="G313" s="527" t="s">
        <v>73</v>
      </c>
      <c r="H313" s="527"/>
      <c r="I313" s="18"/>
      <c r="J313" s="17"/>
      <c r="K313" s="17"/>
      <c r="L313" s="531"/>
      <c r="M313" s="531"/>
      <c r="N313" s="531"/>
      <c r="O313" s="531"/>
      <c r="P313" s="531"/>
      <c r="Q313" s="531"/>
      <c r="R313" s="531"/>
      <c r="S313" s="531"/>
    </row>
    <row r="314" spans="1:19" s="436" customFormat="1" ht="13" customHeight="1">
      <c r="A314" s="17"/>
      <c r="B314" s="17"/>
      <c r="C314" s="527" t="s">
        <v>303</v>
      </c>
      <c r="D314" s="21">
        <f>Tragwerk!M91</f>
        <v>59.842542496499931</v>
      </c>
      <c r="E314" s="19" t="s">
        <v>2</v>
      </c>
      <c r="F314" s="453"/>
      <c r="G314" s="527" t="s">
        <v>75</v>
      </c>
      <c r="H314" s="527"/>
      <c r="I314" s="18"/>
      <c r="J314" s="17"/>
      <c r="K314" s="17"/>
      <c r="L314" s="531"/>
      <c r="M314" s="531"/>
      <c r="N314" s="531"/>
      <c r="O314" s="531"/>
      <c r="P314" s="531"/>
      <c r="Q314" s="531"/>
      <c r="R314" s="531"/>
      <c r="S314" s="531"/>
    </row>
    <row r="315" spans="1:19" s="436" customFormat="1" ht="13" customHeight="1">
      <c r="A315" s="17"/>
      <c r="B315" s="17"/>
      <c r="C315" s="25" t="s">
        <v>508</v>
      </c>
      <c r="D315" s="26">
        <f>D314/D313</f>
        <v>0.27103010676690825</v>
      </c>
      <c r="E315" s="520" t="s">
        <v>7</v>
      </c>
      <c r="F315" s="453"/>
      <c r="G315" s="24" t="s">
        <v>46</v>
      </c>
      <c r="H315" s="527"/>
      <c r="I315" s="18"/>
      <c r="J315" s="17"/>
      <c r="K315" s="17"/>
      <c r="L315" s="531"/>
      <c r="M315" s="531"/>
      <c r="N315" s="531"/>
      <c r="O315" s="531"/>
      <c r="P315" s="531"/>
      <c r="Q315" s="531"/>
      <c r="R315" s="531"/>
      <c r="S315" s="531"/>
    </row>
    <row r="316" spans="1:19" s="1" customFormat="1" ht="5.9" customHeight="1">
      <c r="A316" s="4"/>
      <c r="B316" s="240"/>
      <c r="C316" s="240"/>
      <c r="D316" s="240"/>
      <c r="E316" s="240"/>
      <c r="F316" s="240"/>
      <c r="G316" s="240"/>
      <c r="H316" s="240"/>
      <c r="I316" s="240"/>
      <c r="J316" s="240"/>
      <c r="K316" s="4"/>
      <c r="L316" s="531"/>
      <c r="M316" s="531"/>
      <c r="N316" s="531"/>
      <c r="O316" s="531"/>
      <c r="P316" s="531"/>
      <c r="Q316" s="531"/>
      <c r="R316" s="531"/>
      <c r="S316" s="531"/>
    </row>
    <row r="317" spans="1:19" s="1" customFormat="1" ht="13" customHeight="1">
      <c r="A317" s="1032" t="s">
        <v>518</v>
      </c>
      <c r="B317" s="1032"/>
      <c r="C317" s="1032"/>
      <c r="D317" s="1032"/>
      <c r="E317" s="1032"/>
      <c r="F317" s="1032"/>
      <c r="G317" s="1032"/>
      <c r="H317" s="1032"/>
      <c r="I317" s="1032"/>
      <c r="J317" s="1032"/>
      <c r="K317" s="520"/>
      <c r="L317" s="531"/>
      <c r="M317" s="531"/>
      <c r="N317" s="531"/>
      <c r="O317" s="531"/>
      <c r="P317" s="531"/>
      <c r="Q317" s="531"/>
      <c r="R317" s="531"/>
      <c r="S317" s="531"/>
    </row>
    <row r="318" spans="1:19" s="1" customFormat="1" ht="13" customHeight="1">
      <c r="A318" s="17"/>
      <c r="B318" s="17"/>
      <c r="C318" s="23"/>
      <c r="D318" s="18"/>
      <c r="E318" s="19"/>
      <c r="F318" s="17"/>
      <c r="G318" s="527"/>
      <c r="H318" s="20"/>
      <c r="I318" s="17"/>
      <c r="J318" s="17"/>
      <c r="K318" s="17"/>
      <c r="L318" s="531"/>
      <c r="M318" s="531"/>
      <c r="N318" s="531"/>
      <c r="O318" s="531"/>
      <c r="P318" s="531"/>
      <c r="Q318" s="531"/>
      <c r="R318" s="531"/>
      <c r="S318" s="531"/>
    </row>
    <row r="319" spans="1:19" s="1" customFormat="1" ht="13" customHeight="1">
      <c r="A319" s="224"/>
      <c r="B319" s="17"/>
      <c r="C319" s="23" t="s">
        <v>85</v>
      </c>
      <c r="D319" s="21">
        <f>INDEX(Tragwerk!M96:O96,1,MATCH(Eingabe!$C$4,Tragwerk!$M$14:$O$14))</f>
        <v>8.7186456326912978E-2</v>
      </c>
      <c r="E319" s="19" t="s">
        <v>7</v>
      </c>
      <c r="F319" s="17"/>
      <c r="G319" s="527" t="s">
        <v>515</v>
      </c>
      <c r="H319" s="20"/>
      <c r="I319" s="17"/>
      <c r="J319" s="17"/>
      <c r="K319" s="224"/>
      <c r="L319" s="531"/>
      <c r="M319" s="531"/>
      <c r="N319" s="531"/>
      <c r="O319" s="531"/>
      <c r="P319" s="531"/>
      <c r="Q319" s="531"/>
      <c r="R319" s="531"/>
      <c r="S319" s="531"/>
    </row>
    <row r="320" spans="1:19" s="1" customFormat="1" ht="13" customHeight="1">
      <c r="A320" s="224"/>
      <c r="B320" s="17"/>
      <c r="C320" s="23" t="s">
        <v>87</v>
      </c>
      <c r="D320" s="21">
        <f>INDEX(Tragwerk!M97:O97,1,MATCH(Eingabe!$C$4,Tragwerk!$M$14:$O$14))</f>
        <v>0.98527348951092064</v>
      </c>
      <c r="E320" s="19" t="s">
        <v>7</v>
      </c>
      <c r="F320" s="17"/>
      <c r="G320" s="527" t="s">
        <v>519</v>
      </c>
      <c r="H320" s="20"/>
      <c r="I320" s="17"/>
      <c r="J320" s="17"/>
      <c r="K320" s="224"/>
      <c r="L320" s="531"/>
      <c r="M320" s="531"/>
      <c r="N320" s="531"/>
      <c r="O320" s="531"/>
      <c r="P320" s="531"/>
      <c r="Q320" s="531"/>
      <c r="R320" s="531"/>
      <c r="S320" s="531"/>
    </row>
    <row r="321" spans="1:19" s="1" customFormat="1" ht="1.75" customHeight="1">
      <c r="A321" s="224"/>
      <c r="B321" s="17"/>
      <c r="C321" s="23"/>
      <c r="D321" s="18"/>
      <c r="E321" s="19"/>
      <c r="F321" s="17"/>
      <c r="G321" s="17"/>
      <c r="H321" s="20"/>
      <c r="I321" s="17"/>
      <c r="J321" s="17"/>
      <c r="K321" s="224"/>
      <c r="L321" s="531"/>
      <c r="M321" s="531"/>
      <c r="N321" s="531"/>
      <c r="O321" s="531"/>
      <c r="P321" s="531"/>
      <c r="Q321" s="531"/>
      <c r="R321" s="531"/>
      <c r="S321" s="531"/>
    </row>
    <row r="322" spans="1:19" s="1" customFormat="1" ht="13" customHeight="1">
      <c r="A322" s="224"/>
      <c r="B322" s="17"/>
      <c r="C322" s="25" t="s">
        <v>548</v>
      </c>
      <c r="D322" s="26">
        <f>INDEX(Tragwerk!M99:O99,1,MATCH(Eingabe!$C$4,Tragwerk!$M$14:$O$14))</f>
        <v>0.89371662153152809</v>
      </c>
      <c r="E322" s="520" t="s">
        <v>7</v>
      </c>
      <c r="F322" s="27"/>
      <c r="G322" s="27" t="s">
        <v>1324</v>
      </c>
      <c r="H322" s="20"/>
      <c r="I322" s="17"/>
      <c r="J322" s="17"/>
      <c r="K322" s="224"/>
      <c r="L322" s="531"/>
      <c r="M322" s="531"/>
      <c r="N322" s="531"/>
      <c r="O322" s="531"/>
      <c r="P322" s="531"/>
      <c r="Q322" s="531"/>
      <c r="R322" s="531"/>
      <c r="S322" s="531"/>
    </row>
    <row r="323" spans="1:19" s="1" customFormat="1" ht="6.8" customHeight="1">
      <c r="A323" s="224"/>
      <c r="B323" s="17"/>
      <c r="C323" s="23"/>
      <c r="D323" s="18"/>
      <c r="E323" s="19"/>
      <c r="F323" s="17"/>
      <c r="G323" s="527"/>
      <c r="H323" s="20"/>
      <c r="I323" s="17"/>
      <c r="J323" s="17"/>
      <c r="K323" s="224"/>
      <c r="L323" s="531"/>
      <c r="M323" s="531"/>
      <c r="N323" s="531"/>
      <c r="O323" s="531"/>
      <c r="P323" s="531"/>
      <c r="Q323" s="531"/>
      <c r="R323" s="531"/>
      <c r="S323" s="531"/>
    </row>
    <row r="324" spans="1:19" s="1" customFormat="1" ht="14.15" customHeight="1">
      <c r="A324" s="1033" t="s">
        <v>309</v>
      </c>
      <c r="B324" s="1033"/>
      <c r="C324" s="1033"/>
      <c r="D324" s="1033"/>
      <c r="E324" s="1033"/>
      <c r="F324" s="1033"/>
      <c r="G324" s="1033"/>
      <c r="H324" s="1033"/>
      <c r="I324" s="1033"/>
      <c r="J324" s="1033"/>
      <c r="K324" s="502"/>
      <c r="L324" s="531"/>
      <c r="M324" s="531"/>
      <c r="N324" s="531"/>
      <c r="O324" s="531"/>
      <c r="P324" s="531"/>
      <c r="Q324" s="531"/>
      <c r="R324" s="531"/>
      <c r="S324" s="531"/>
    </row>
    <row r="325" spans="1:19" s="1" customFormat="1" ht="6.8" customHeight="1">
      <c r="A325" s="228"/>
      <c r="B325" s="242"/>
      <c r="C325" s="242"/>
      <c r="D325" s="242"/>
      <c r="E325" s="242"/>
      <c r="F325" s="242"/>
      <c r="G325" s="242"/>
      <c r="H325" s="242"/>
      <c r="I325" s="242"/>
      <c r="J325" s="242"/>
      <c r="K325" s="228"/>
      <c r="L325" s="531"/>
      <c r="M325" s="531"/>
      <c r="N325" s="531"/>
      <c r="O325" s="531"/>
      <c r="P325" s="531"/>
      <c r="Q325" s="531"/>
      <c r="R325" s="531"/>
      <c r="S325" s="531"/>
    </row>
    <row r="326" spans="1:19" s="1" customFormat="1" ht="13" customHeight="1">
      <c r="A326" s="1032" t="s">
        <v>514</v>
      </c>
      <c r="B326" s="1032"/>
      <c r="C326" s="1032"/>
      <c r="D326" s="1032"/>
      <c r="E326" s="1032"/>
      <c r="F326" s="1032"/>
      <c r="G326" s="1032"/>
      <c r="H326" s="1032"/>
      <c r="I326" s="1032"/>
      <c r="J326" s="1032"/>
      <c r="K326" s="520"/>
      <c r="L326" s="531"/>
      <c r="M326" s="531"/>
      <c r="N326" s="531"/>
      <c r="O326" s="531"/>
      <c r="P326" s="531"/>
      <c r="Q326" s="531"/>
      <c r="R326" s="531"/>
      <c r="S326" s="531"/>
    </row>
    <row r="327" spans="1:19" s="1" customFormat="1" ht="13" customHeight="1">
      <c r="A327" s="17"/>
      <c r="B327" s="14" t="s">
        <v>1</v>
      </c>
      <c r="C327" s="232"/>
      <c r="D327" s="232"/>
      <c r="E327" s="232"/>
      <c r="F327" s="17"/>
      <c r="G327" s="527"/>
      <c r="H327" s="527"/>
      <c r="I327" s="527"/>
      <c r="J327" s="527"/>
      <c r="K327" s="17"/>
      <c r="L327" s="531"/>
      <c r="M327" s="531"/>
      <c r="N327" s="531"/>
      <c r="O327" s="531"/>
      <c r="P327" s="531"/>
      <c r="Q327" s="531"/>
      <c r="R327" s="531"/>
      <c r="S327" s="531"/>
    </row>
    <row r="328" spans="1:19" s="1" customFormat="1" ht="13" customHeight="1">
      <c r="A328" s="17"/>
      <c r="B328" s="17"/>
      <c r="C328" s="527" t="s">
        <v>4</v>
      </c>
      <c r="D328" s="21">
        <f>INDEX(Kappe!L17:N17,1,MATCH(Eingabe!$C$4,Kappe!$L$12:$N$12))</f>
        <v>247</v>
      </c>
      <c r="E328" s="19" t="s">
        <v>2</v>
      </c>
      <c r="F328" s="17"/>
      <c r="G328" s="527" t="s">
        <v>1557</v>
      </c>
      <c r="H328" s="527"/>
      <c r="I328" s="527"/>
      <c r="J328" s="527"/>
      <c r="K328" s="17"/>
      <c r="L328" s="531"/>
      <c r="M328" s="531"/>
      <c r="N328" s="531"/>
      <c r="O328" s="531"/>
      <c r="P328" s="531"/>
      <c r="Q328" s="531"/>
      <c r="R328" s="531"/>
      <c r="S328" s="531"/>
    </row>
    <row r="329" spans="1:19" s="1" customFormat="1" ht="13" customHeight="1">
      <c r="A329" s="17"/>
      <c r="B329" s="17"/>
      <c r="C329" s="17" t="s">
        <v>3</v>
      </c>
      <c r="D329" s="21">
        <f>Kappe!$L$18</f>
        <v>1.87</v>
      </c>
      <c r="E329" s="19" t="s">
        <v>7</v>
      </c>
      <c r="F329" s="17"/>
      <c r="G329" s="527" t="s">
        <v>1353</v>
      </c>
      <c r="H329" s="527"/>
      <c r="I329" s="527"/>
      <c r="J329" s="527"/>
      <c r="K329" s="17"/>
      <c r="L329" s="531"/>
      <c r="M329" s="531"/>
      <c r="N329" s="531"/>
      <c r="O329" s="531"/>
      <c r="P329" s="531"/>
      <c r="Q329" s="531"/>
      <c r="R329" s="531"/>
      <c r="S329" s="531"/>
    </row>
    <row r="330" spans="1:19" s="1" customFormat="1" ht="13" customHeight="1">
      <c r="A330" s="17"/>
      <c r="B330" s="17"/>
      <c r="C330" s="527" t="s">
        <v>64</v>
      </c>
      <c r="D330" s="18">
        <f>INDEX(Kappe!L19:N19,1,MATCH(Eingabe!$C$4,Kappe!$L$12:$N$12))</f>
        <v>132.08556149732618</v>
      </c>
      <c r="E330" s="19" t="s">
        <v>2</v>
      </c>
      <c r="F330" s="17"/>
      <c r="G330" s="527" t="s">
        <v>73</v>
      </c>
      <c r="H330" s="527"/>
      <c r="I330" s="527"/>
      <c r="J330" s="527"/>
      <c r="K330" s="17"/>
      <c r="L330" s="531"/>
      <c r="M330" s="531"/>
      <c r="N330" s="531"/>
      <c r="O330" s="531"/>
      <c r="P330" s="531"/>
      <c r="Q330" s="531"/>
      <c r="R330" s="531"/>
      <c r="S330" s="531"/>
    </row>
    <row r="331" spans="1:19" s="1" customFormat="1" ht="13" customHeight="1">
      <c r="A331" s="17"/>
      <c r="B331" s="17"/>
      <c r="C331" s="527" t="s">
        <v>306</v>
      </c>
      <c r="D331" s="21">
        <f>Kappe!$L$53</f>
        <v>4.7057430951337125</v>
      </c>
      <c r="E331" s="19" t="s">
        <v>2</v>
      </c>
      <c r="F331" s="17"/>
      <c r="G331" s="527" t="s">
        <v>75</v>
      </c>
      <c r="H331" s="527"/>
      <c r="I331" s="527"/>
      <c r="J331" s="527"/>
      <c r="K331" s="17"/>
      <c r="L331" s="531"/>
      <c r="M331" s="531"/>
      <c r="N331" s="531"/>
      <c r="O331" s="531"/>
      <c r="P331" s="531"/>
      <c r="Q331" s="531"/>
      <c r="R331" s="531"/>
      <c r="S331" s="531"/>
    </row>
    <row r="332" spans="1:19" s="1" customFormat="1" ht="13" customHeight="1">
      <c r="A332" s="17"/>
      <c r="B332" s="17"/>
      <c r="C332" s="25" t="s">
        <v>88</v>
      </c>
      <c r="D332" s="26">
        <f>D331/D330</f>
        <v>3.5626476064372643E-2</v>
      </c>
      <c r="E332" s="520" t="s">
        <v>7</v>
      </c>
      <c r="F332" s="27"/>
      <c r="G332" s="24" t="s">
        <v>46</v>
      </c>
      <c r="H332" s="527"/>
      <c r="I332" s="527"/>
      <c r="J332" s="527"/>
      <c r="K332" s="17"/>
      <c r="L332" s="531"/>
      <c r="M332" s="531"/>
      <c r="N332" s="531"/>
      <c r="O332" s="531"/>
      <c r="P332" s="531"/>
      <c r="Q332" s="531"/>
      <c r="R332" s="531"/>
      <c r="S332" s="531"/>
    </row>
    <row r="333" spans="1:19" s="1" customFormat="1" ht="6.8" customHeight="1">
      <c r="A333" s="228"/>
      <c r="B333" s="240"/>
      <c r="C333" s="240"/>
      <c r="D333" s="240"/>
      <c r="E333" s="240"/>
      <c r="F333" s="240"/>
      <c r="G333" s="240"/>
      <c r="H333" s="240"/>
      <c r="I333" s="240"/>
      <c r="J333" s="242"/>
      <c r="K333" s="228"/>
      <c r="L333" s="531"/>
      <c r="M333" s="531"/>
      <c r="N333" s="531"/>
      <c r="O333" s="531"/>
      <c r="P333" s="531"/>
      <c r="Q333" s="531"/>
      <c r="R333" s="531"/>
      <c r="S333" s="531"/>
    </row>
    <row r="334" spans="1:19" s="1" customFormat="1" ht="13" customHeight="1">
      <c r="A334" s="224"/>
      <c r="B334" s="233" t="s">
        <v>5</v>
      </c>
      <c r="C334" s="19"/>
      <c r="D334" s="19"/>
      <c r="E334" s="17"/>
      <c r="F334" s="17"/>
      <c r="G334" s="527"/>
      <c r="H334" s="527"/>
      <c r="I334" s="527"/>
      <c r="J334" s="225"/>
      <c r="K334" s="224"/>
      <c r="L334" s="531"/>
      <c r="M334" s="531"/>
      <c r="N334" s="531"/>
      <c r="O334" s="531"/>
      <c r="P334" s="531"/>
      <c r="Q334" s="531"/>
      <c r="R334" s="531"/>
      <c r="S334" s="531"/>
    </row>
    <row r="335" spans="1:19" s="1" customFormat="1" ht="13" customHeight="1">
      <c r="A335" s="224"/>
      <c r="B335" s="233"/>
      <c r="C335" s="234" t="s">
        <v>115</v>
      </c>
      <c r="D335" s="18">
        <f>INDEX(Kappe!L21:N21,1,MATCH(Eingabe!$C$4,Kappe!$L$12:$N$12))</f>
        <v>565</v>
      </c>
      <c r="E335" s="19" t="s">
        <v>16</v>
      </c>
      <c r="F335" s="17"/>
      <c r="G335" s="527" t="s">
        <v>137</v>
      </c>
      <c r="H335" s="527"/>
      <c r="I335" s="527"/>
      <c r="J335" s="225"/>
      <c r="K335" s="224"/>
      <c r="L335" s="531"/>
      <c r="M335" s="531"/>
      <c r="N335" s="531"/>
      <c r="O335" s="531"/>
      <c r="P335" s="531"/>
      <c r="Q335" s="531"/>
      <c r="R335" s="531"/>
      <c r="S335" s="531"/>
    </row>
    <row r="336" spans="1:19" s="655" customFormat="1" ht="13" customHeight="1">
      <c r="A336" s="224"/>
      <c r="B336" s="233"/>
      <c r="C336" s="666" t="s">
        <v>1152</v>
      </c>
      <c r="D336" s="669">
        <f>Eingabe!N3</f>
        <v>1</v>
      </c>
      <c r="E336" s="19" t="s">
        <v>7</v>
      </c>
      <c r="F336" s="17"/>
      <c r="G336" s="527" t="s">
        <v>1151</v>
      </c>
      <c r="H336" s="527"/>
      <c r="I336" s="527"/>
      <c r="J336" s="225"/>
      <c r="K336" s="224"/>
    </row>
    <row r="337" spans="1:19" s="1" customFormat="1" ht="13" customHeight="1">
      <c r="A337" s="224"/>
      <c r="B337" s="233"/>
      <c r="C337" s="234" t="s">
        <v>6</v>
      </c>
      <c r="D337" s="21">
        <f>INDEX(Kappe!L22:N22,1,MATCH(Eingabe!$C$4,Kappe!$L$12:$N$12))</f>
        <v>101.7</v>
      </c>
      <c r="E337" s="19" t="s">
        <v>2</v>
      </c>
      <c r="F337" s="17"/>
      <c r="G337" s="527" t="s">
        <v>1324</v>
      </c>
      <c r="H337" s="527"/>
      <c r="I337" s="527"/>
      <c r="J337" s="225"/>
      <c r="K337" s="224"/>
      <c r="L337" s="531"/>
      <c r="M337" s="531"/>
      <c r="N337" s="531"/>
      <c r="O337" s="531"/>
      <c r="P337" s="531"/>
      <c r="Q337" s="531"/>
      <c r="R337" s="531"/>
      <c r="S337" s="531"/>
    </row>
    <row r="338" spans="1:19" s="1" customFormat="1" ht="13" customHeight="1">
      <c r="A338" s="224"/>
      <c r="B338" s="233"/>
      <c r="C338" s="234" t="s">
        <v>108</v>
      </c>
      <c r="D338" s="18">
        <f>Kappe!L23</f>
        <v>1.2</v>
      </c>
      <c r="E338" s="19" t="s">
        <v>7</v>
      </c>
      <c r="F338" s="17"/>
      <c r="G338" s="527" t="s">
        <v>1324</v>
      </c>
      <c r="H338" s="527"/>
      <c r="I338" s="527"/>
      <c r="J338" s="225"/>
      <c r="K338" s="224"/>
      <c r="L338" s="531"/>
      <c r="M338" s="531"/>
      <c r="N338" s="531"/>
      <c r="O338" s="531"/>
      <c r="P338" s="531"/>
      <c r="Q338" s="531"/>
      <c r="R338" s="531"/>
      <c r="S338" s="531"/>
    </row>
    <row r="339" spans="1:19" s="1" customFormat="1" ht="13" customHeight="1">
      <c r="A339" s="224"/>
      <c r="B339" s="233"/>
      <c r="C339" s="234" t="s">
        <v>123</v>
      </c>
      <c r="D339" s="21">
        <f>INDEX(Kappe!L24:N24,1,MATCH(Eingabe!$C$4,Kappe!$L$12:$N$12))</f>
        <v>84.75</v>
      </c>
      <c r="E339" s="19" t="s">
        <v>2</v>
      </c>
      <c r="F339" s="17"/>
      <c r="G339" s="527" t="s">
        <v>73</v>
      </c>
      <c r="H339" s="527"/>
      <c r="I339" s="527"/>
      <c r="J339" s="225"/>
      <c r="K339" s="224"/>
      <c r="L339" s="531"/>
      <c r="M339" s="531"/>
      <c r="N339" s="531"/>
      <c r="O339" s="531"/>
      <c r="P339" s="531"/>
      <c r="Q339" s="531"/>
      <c r="R339" s="531"/>
      <c r="S339" s="531"/>
    </row>
    <row r="340" spans="1:19" s="1" customFormat="1" ht="13" customHeight="1">
      <c r="A340" s="224"/>
      <c r="B340" s="233"/>
      <c r="C340" s="527" t="s">
        <v>306</v>
      </c>
      <c r="D340" s="21">
        <f>Kappe!$L$53</f>
        <v>4.7057430951337125</v>
      </c>
      <c r="E340" s="19" t="s">
        <v>2</v>
      </c>
      <c r="F340" s="17"/>
      <c r="G340" s="527" t="s">
        <v>75</v>
      </c>
      <c r="H340" s="527"/>
      <c r="I340" s="527"/>
      <c r="J340" s="225"/>
      <c r="K340" s="224"/>
      <c r="L340" s="531"/>
      <c r="M340" s="531"/>
      <c r="N340" s="531"/>
      <c r="O340" s="531"/>
      <c r="P340" s="531"/>
      <c r="Q340" s="531"/>
      <c r="R340" s="531"/>
      <c r="S340" s="531"/>
    </row>
    <row r="341" spans="1:19" s="1" customFormat="1" ht="13" customHeight="1">
      <c r="A341" s="224"/>
      <c r="B341" s="17"/>
      <c r="C341" s="25" t="s">
        <v>122</v>
      </c>
      <c r="D341" s="26">
        <f>D340/D339</f>
        <v>5.552499227296416E-2</v>
      </c>
      <c r="E341" s="520" t="s">
        <v>7</v>
      </c>
      <c r="F341" s="27"/>
      <c r="G341" s="24" t="s">
        <v>46</v>
      </c>
      <c r="H341" s="527"/>
      <c r="I341" s="527"/>
      <c r="J341" s="225"/>
      <c r="K341" s="224"/>
      <c r="L341" s="531"/>
      <c r="M341" s="531"/>
      <c r="N341" s="531"/>
      <c r="O341" s="531"/>
      <c r="P341" s="531"/>
      <c r="Q341" s="531"/>
      <c r="R341" s="531"/>
      <c r="S341" s="531"/>
    </row>
    <row r="342" spans="1:19" s="1" customFormat="1" ht="6.8" customHeight="1">
      <c r="A342" s="228"/>
      <c r="B342" s="240"/>
      <c r="C342" s="240"/>
      <c r="D342" s="240"/>
      <c r="E342" s="240"/>
      <c r="F342" s="240"/>
      <c r="G342" s="240"/>
      <c r="H342" s="240"/>
      <c r="I342" s="240"/>
      <c r="J342" s="240"/>
      <c r="K342" s="228"/>
      <c r="L342" s="531"/>
      <c r="M342" s="531"/>
      <c r="N342" s="531"/>
      <c r="O342" s="531"/>
      <c r="P342" s="531"/>
      <c r="Q342" s="531"/>
      <c r="R342" s="531"/>
      <c r="S342" s="531"/>
    </row>
    <row r="343" spans="1:19" s="1" customFormat="1" ht="13" customHeight="1">
      <c r="A343" s="224"/>
      <c r="B343" s="233" t="s">
        <v>8</v>
      </c>
      <c r="C343" s="19"/>
      <c r="D343" s="19"/>
      <c r="E343" s="17"/>
      <c r="F343" s="17"/>
      <c r="G343" s="527"/>
      <c r="H343" s="527"/>
      <c r="I343" s="527"/>
      <c r="J343" s="527"/>
      <c r="K343" s="224"/>
      <c r="L343" s="531"/>
      <c r="M343" s="531"/>
      <c r="N343" s="531"/>
      <c r="O343" s="531"/>
      <c r="P343" s="531"/>
      <c r="Q343" s="531"/>
      <c r="R343" s="531"/>
      <c r="S343" s="531"/>
    </row>
    <row r="344" spans="1:19" s="1" customFormat="1" ht="14.15" customHeight="1">
      <c r="A344" s="224"/>
      <c r="B344" s="17"/>
      <c r="C344" s="527" t="s">
        <v>78</v>
      </c>
      <c r="D344" s="21">
        <f>INDEX(Kappe!L27:N27,1,MATCH(Eingabe!$C$4,Kappe!$L$12:$N$12))</f>
        <v>30.846077222233625</v>
      </c>
      <c r="E344" s="19" t="s">
        <v>2</v>
      </c>
      <c r="F344" s="17"/>
      <c r="G344" s="527" t="s">
        <v>1324</v>
      </c>
      <c r="H344" s="527"/>
      <c r="I344" s="527"/>
      <c r="J344" s="527"/>
      <c r="K344" s="224"/>
      <c r="L344" s="531"/>
      <c r="M344" s="531"/>
      <c r="N344" s="531"/>
      <c r="O344" s="531"/>
      <c r="P344" s="531"/>
      <c r="Q344" s="531"/>
      <c r="R344" s="531"/>
      <c r="S344" s="531"/>
    </row>
    <row r="345" spans="1:19" s="1" customFormat="1" ht="14.15" customHeight="1">
      <c r="A345" s="224"/>
      <c r="B345" s="17"/>
      <c r="C345" s="527" t="s">
        <v>79</v>
      </c>
      <c r="D345" s="20">
        <f>INDEX(Kappe!L28:N28,1,MATCH(Eingabe!$C$4,Kappe!$L$12:$N$12))</f>
        <v>51984</v>
      </c>
      <c r="E345" s="19" t="s">
        <v>16</v>
      </c>
      <c r="F345" s="17"/>
      <c r="G345" s="527" t="s">
        <v>1324</v>
      </c>
      <c r="H345" s="527"/>
      <c r="I345" s="527"/>
      <c r="J345" s="527"/>
      <c r="K345" s="224"/>
      <c r="L345" s="531"/>
      <c r="M345" s="531"/>
      <c r="N345" s="531"/>
      <c r="O345" s="531"/>
      <c r="P345" s="531"/>
      <c r="Q345" s="531"/>
      <c r="R345" s="531"/>
      <c r="S345" s="531"/>
    </row>
    <row r="346" spans="1:19" s="1" customFormat="1" ht="13" customHeight="1">
      <c r="A346" s="224"/>
      <c r="B346" s="17"/>
      <c r="C346" s="527" t="s">
        <v>80</v>
      </c>
      <c r="D346" s="20">
        <f>INDEX(Kappe!L29:N29,1,MATCH(Eingabe!$C$4,Kappe!$L$12:$N$12))</f>
        <v>69168</v>
      </c>
      <c r="E346" s="19" t="s">
        <v>16</v>
      </c>
      <c r="F346" s="17"/>
      <c r="G346" s="527" t="s">
        <v>1324</v>
      </c>
      <c r="H346" s="527"/>
      <c r="I346" s="527"/>
      <c r="J346" s="527"/>
      <c r="K346" s="224"/>
      <c r="L346" s="531"/>
      <c r="M346" s="531"/>
      <c r="N346" s="531"/>
      <c r="O346" s="531"/>
      <c r="P346" s="531"/>
      <c r="Q346" s="531"/>
      <c r="R346" s="531"/>
      <c r="S346" s="531"/>
    </row>
    <row r="347" spans="1:19" s="1" customFormat="1" ht="13" customHeight="1">
      <c r="A347" s="224"/>
      <c r="B347" s="17"/>
      <c r="C347" s="527" t="s">
        <v>10</v>
      </c>
      <c r="D347" s="18">
        <f>Kappe!$L$26</f>
        <v>8.5</v>
      </c>
      <c r="E347" s="19" t="s">
        <v>7</v>
      </c>
      <c r="F347" s="17"/>
      <c r="G347" s="527" t="s">
        <v>1324</v>
      </c>
      <c r="H347" s="527"/>
      <c r="I347" s="527"/>
      <c r="J347" s="527"/>
      <c r="K347" s="224"/>
      <c r="L347" s="531"/>
      <c r="M347" s="531"/>
      <c r="N347" s="531"/>
      <c r="O347" s="531"/>
      <c r="P347" s="531"/>
      <c r="Q347" s="531"/>
      <c r="R347" s="531"/>
      <c r="S347" s="531"/>
    </row>
    <row r="348" spans="1:19" s="1" customFormat="1" ht="13" customHeight="1">
      <c r="A348" s="224"/>
      <c r="B348" s="17"/>
      <c r="C348" s="23" t="s">
        <v>81</v>
      </c>
      <c r="D348" s="21">
        <f>INDEX(Kappe!L30:N30,1,MATCH(Eingabe!$C$4,Kappe!$L$12:$N$12))</f>
        <v>1</v>
      </c>
      <c r="E348" s="19" t="s">
        <v>7</v>
      </c>
      <c r="F348" s="17"/>
      <c r="G348" s="527" t="s">
        <v>1324</v>
      </c>
      <c r="H348" s="527"/>
      <c r="I348" s="527"/>
      <c r="J348" s="527"/>
      <c r="K348" s="224"/>
      <c r="L348" s="531"/>
      <c r="M348" s="531"/>
      <c r="N348" s="531"/>
      <c r="O348" s="531"/>
      <c r="P348" s="531"/>
      <c r="Q348" s="531"/>
      <c r="R348" s="531"/>
      <c r="S348" s="531"/>
    </row>
    <row r="349" spans="1:19" s="1" customFormat="1" ht="13" customHeight="1">
      <c r="A349" s="224"/>
      <c r="B349" s="17"/>
      <c r="C349" s="23" t="s">
        <v>82</v>
      </c>
      <c r="D349" s="21">
        <f>INDEX(Kappe!L31:N31,1,MATCH(Eingabe!$C$4,Kappe!$L$12:$N$12))</f>
        <v>1</v>
      </c>
      <c r="E349" s="19" t="s">
        <v>7</v>
      </c>
      <c r="F349" s="17"/>
      <c r="G349" s="527" t="s">
        <v>1324</v>
      </c>
      <c r="H349" s="527"/>
      <c r="I349" s="527"/>
      <c r="J349" s="527"/>
      <c r="K349" s="224"/>
      <c r="L349" s="531"/>
      <c r="M349" s="531"/>
      <c r="N349" s="531"/>
      <c r="O349" s="531"/>
      <c r="P349" s="531"/>
      <c r="Q349" s="531"/>
      <c r="R349" s="531"/>
      <c r="S349" s="531"/>
    </row>
    <row r="350" spans="1:19" s="1" customFormat="1" ht="13" customHeight="1">
      <c r="A350" s="224"/>
      <c r="B350" s="17"/>
      <c r="C350" s="23" t="s">
        <v>83</v>
      </c>
      <c r="D350" s="21">
        <f>INDEX(Kappe!L32:N32,1,MATCH(Eingabe!$C$4,Kappe!$L$12:$N$12))</f>
        <v>1</v>
      </c>
      <c r="E350" s="19" t="s">
        <v>7</v>
      </c>
      <c r="F350" s="17"/>
      <c r="G350" s="527" t="s">
        <v>1324</v>
      </c>
      <c r="H350" s="527"/>
      <c r="I350" s="527"/>
      <c r="J350" s="527"/>
      <c r="K350" s="224"/>
      <c r="L350" s="531"/>
      <c r="M350" s="531"/>
      <c r="N350" s="531"/>
      <c r="O350" s="531"/>
      <c r="P350" s="531"/>
      <c r="Q350" s="531"/>
      <c r="R350" s="531"/>
      <c r="S350" s="531"/>
    </row>
    <row r="351" spans="1:19" s="1" customFormat="1" ht="13" customHeight="1">
      <c r="A351" s="224"/>
      <c r="B351" s="17"/>
      <c r="C351" s="23" t="s">
        <v>84</v>
      </c>
      <c r="D351" s="21">
        <f>INDEX(Kappe!L33:N33,1,MATCH(Eingabe!$C$4,Kappe!$L$12:$N$12))</f>
        <v>1</v>
      </c>
      <c r="E351" s="19" t="s">
        <v>7</v>
      </c>
      <c r="F351" s="17"/>
      <c r="G351" s="527" t="s">
        <v>1324</v>
      </c>
      <c r="H351" s="527"/>
      <c r="I351" s="527"/>
      <c r="J351" s="527"/>
      <c r="K351" s="224"/>
      <c r="L351" s="531"/>
      <c r="M351" s="531"/>
      <c r="N351" s="531"/>
      <c r="O351" s="531"/>
      <c r="P351" s="531"/>
      <c r="Q351" s="531"/>
      <c r="R351" s="531"/>
      <c r="S351" s="531"/>
    </row>
    <row r="352" spans="1:19" s="655" customFormat="1" ht="13" customHeight="1">
      <c r="A352" s="224"/>
      <c r="B352" s="17"/>
      <c r="C352" s="666" t="s">
        <v>1152</v>
      </c>
      <c r="D352" s="669">
        <f>Eingabe!N3</f>
        <v>1</v>
      </c>
      <c r="E352" s="19" t="s">
        <v>7</v>
      </c>
      <c r="F352" s="17"/>
      <c r="G352" s="527" t="s">
        <v>1151</v>
      </c>
      <c r="H352" s="527"/>
      <c r="I352" s="527"/>
      <c r="J352" s="527"/>
      <c r="K352" s="224"/>
    </row>
    <row r="353" spans="1:19" s="1" customFormat="1" ht="13" customHeight="1">
      <c r="A353" s="224"/>
      <c r="B353" s="17"/>
      <c r="C353" s="527" t="s">
        <v>77</v>
      </c>
      <c r="D353" s="21">
        <f>INDEX(Kappe!L34:N34,1,MATCH(Eingabe!$C$4,Kappe!$L$12:$N$12))</f>
        <v>41.042656765686658</v>
      </c>
      <c r="E353" s="19" t="s">
        <v>2</v>
      </c>
      <c r="F353" s="17"/>
      <c r="G353" s="527" t="s">
        <v>1324</v>
      </c>
      <c r="H353" s="527"/>
      <c r="I353" s="527"/>
      <c r="J353" s="527"/>
      <c r="K353" s="224"/>
      <c r="L353" s="531"/>
      <c r="M353" s="531"/>
      <c r="N353" s="531"/>
      <c r="O353" s="531"/>
      <c r="P353" s="531"/>
      <c r="Q353" s="531"/>
      <c r="R353" s="531"/>
      <c r="S353" s="531"/>
    </row>
    <row r="354" spans="1:19" s="1" customFormat="1" ht="13" customHeight="1">
      <c r="A354" s="224"/>
      <c r="B354" s="17"/>
      <c r="C354" s="17" t="s">
        <v>12</v>
      </c>
      <c r="D354" s="21">
        <f>Kappe!$L$35</f>
        <v>1.2</v>
      </c>
      <c r="E354" s="19" t="s">
        <v>7</v>
      </c>
      <c r="F354" s="17"/>
      <c r="G354" s="527" t="s">
        <v>1324</v>
      </c>
      <c r="H354" s="527"/>
      <c r="I354" s="527"/>
      <c r="J354" s="527"/>
      <c r="K354" s="224"/>
      <c r="L354" s="531"/>
      <c r="M354" s="531"/>
      <c r="N354" s="531"/>
      <c r="O354" s="531"/>
      <c r="P354" s="531"/>
      <c r="Q354" s="531"/>
      <c r="R354" s="531"/>
      <c r="S354" s="531"/>
    </row>
    <row r="355" spans="1:19" s="1" customFormat="1" ht="13" customHeight="1">
      <c r="A355" s="224"/>
      <c r="B355" s="17"/>
      <c r="C355" s="527" t="s">
        <v>71</v>
      </c>
      <c r="D355" s="21">
        <f>INDEX(Kappe!L36:N36,1,MATCH(Eingabe!$C$4,Kappe!$L$12:$N$12))</f>
        <v>34.202213971405548</v>
      </c>
      <c r="E355" s="19" t="s">
        <v>2</v>
      </c>
      <c r="F355" s="17"/>
      <c r="G355" s="527" t="s">
        <v>73</v>
      </c>
      <c r="H355" s="527"/>
      <c r="I355" s="527"/>
      <c r="J355" s="527"/>
      <c r="K355" s="224"/>
      <c r="L355" s="531"/>
      <c r="M355" s="531"/>
      <c r="N355" s="531"/>
      <c r="O355" s="531"/>
      <c r="P355" s="531"/>
      <c r="Q355" s="531"/>
      <c r="R355" s="531"/>
      <c r="S355" s="531"/>
    </row>
    <row r="356" spans="1:19" s="1" customFormat="1" ht="13" customHeight="1">
      <c r="A356" s="224"/>
      <c r="B356" s="17"/>
      <c r="C356" s="527" t="s">
        <v>306</v>
      </c>
      <c r="D356" s="21">
        <f>Kappe!$L$53</f>
        <v>4.7057430951337125</v>
      </c>
      <c r="E356" s="19" t="s">
        <v>2</v>
      </c>
      <c r="F356" s="17"/>
      <c r="G356" s="527" t="s">
        <v>75</v>
      </c>
      <c r="H356" s="527"/>
      <c r="I356" s="527"/>
      <c r="J356" s="527"/>
      <c r="K356" s="224"/>
      <c r="L356" s="531"/>
      <c r="M356" s="531"/>
      <c r="N356" s="531"/>
      <c r="O356" s="531"/>
      <c r="P356" s="531"/>
      <c r="Q356" s="531"/>
      <c r="R356" s="531"/>
      <c r="S356" s="531"/>
    </row>
    <row r="357" spans="1:19" s="1" customFormat="1" ht="13" customHeight="1">
      <c r="A357" s="224"/>
      <c r="B357" s="17"/>
      <c r="C357" s="25" t="s">
        <v>89</v>
      </c>
      <c r="D357" s="26">
        <f>D356/D355</f>
        <v>0.13758592058010941</v>
      </c>
      <c r="E357" s="520" t="s">
        <v>7</v>
      </c>
      <c r="F357" s="27"/>
      <c r="G357" s="24" t="s">
        <v>46</v>
      </c>
      <c r="H357" s="527"/>
      <c r="I357" s="527"/>
      <c r="J357" s="527"/>
      <c r="K357" s="224"/>
      <c r="L357" s="531"/>
      <c r="M357" s="531"/>
      <c r="N357" s="531"/>
      <c r="O357" s="531"/>
      <c r="P357" s="531"/>
      <c r="Q357" s="531"/>
      <c r="R357" s="531"/>
      <c r="S357" s="531"/>
    </row>
    <row r="358" spans="1:19" s="1" customFormat="1" ht="6.8" customHeight="1">
      <c r="A358" s="17"/>
      <c r="B358" s="23"/>
      <c r="C358" s="21"/>
      <c r="D358" s="19"/>
      <c r="E358" s="527"/>
      <c r="F358" s="17"/>
      <c r="G358" s="527"/>
      <c r="H358" s="527"/>
      <c r="I358" s="527"/>
      <c r="J358" s="527"/>
      <c r="K358" s="17"/>
      <c r="L358" s="531"/>
      <c r="M358" s="531"/>
      <c r="N358" s="531"/>
      <c r="O358" s="531"/>
      <c r="P358" s="531"/>
      <c r="Q358" s="531"/>
      <c r="R358" s="531"/>
      <c r="S358" s="531"/>
    </row>
    <row r="359" spans="1:19" s="1" customFormat="1" ht="13" customHeight="1">
      <c r="A359" s="1032" t="s">
        <v>513</v>
      </c>
      <c r="B359" s="1032"/>
      <c r="C359" s="1032"/>
      <c r="D359" s="1032"/>
      <c r="E359" s="1032"/>
      <c r="F359" s="1032"/>
      <c r="G359" s="1032"/>
      <c r="H359" s="1032"/>
      <c r="I359" s="1032"/>
      <c r="J359" s="1032"/>
      <c r="K359" s="520"/>
      <c r="L359" s="531"/>
      <c r="M359" s="531"/>
      <c r="N359" s="531"/>
      <c r="O359" s="531"/>
      <c r="P359" s="531"/>
      <c r="Q359" s="531"/>
      <c r="R359" s="531"/>
      <c r="S359" s="531"/>
    </row>
    <row r="360" spans="1:19" s="1" customFormat="1" ht="13" customHeight="1">
      <c r="A360" s="527"/>
      <c r="B360" s="235" t="s">
        <v>120</v>
      </c>
      <c r="C360" s="236"/>
      <c r="D360" s="527"/>
      <c r="E360" s="527"/>
      <c r="F360" s="527"/>
      <c r="G360" s="527"/>
      <c r="H360" s="527"/>
      <c r="I360" s="527"/>
      <c r="J360" s="527"/>
      <c r="K360" s="527"/>
      <c r="L360" s="531"/>
      <c r="M360" s="531"/>
      <c r="N360" s="531"/>
      <c r="O360" s="531"/>
      <c r="P360" s="531"/>
      <c r="Q360" s="531"/>
      <c r="R360" s="531"/>
      <c r="S360" s="531"/>
    </row>
    <row r="361" spans="1:19" s="1" customFormat="1" ht="13" customHeight="1">
      <c r="A361" s="527"/>
      <c r="B361" s="17"/>
      <c r="C361" s="527" t="s">
        <v>118</v>
      </c>
      <c r="D361" s="21">
        <f>INDEX(Kappe!L58:N58,1,MATCH(Eingabe!$C$4,Kappe!$L$12:$N$12))</f>
        <v>757.99758981340312</v>
      </c>
      <c r="E361" s="19" t="s">
        <v>119</v>
      </c>
      <c r="F361" s="17"/>
      <c r="G361" s="527" t="s">
        <v>1558</v>
      </c>
      <c r="H361" s="527"/>
      <c r="I361" s="527"/>
      <c r="J361" s="527"/>
      <c r="K361" s="527"/>
      <c r="L361" s="531"/>
      <c r="M361" s="531"/>
      <c r="N361" s="531"/>
      <c r="O361" s="531"/>
      <c r="P361" s="531"/>
      <c r="Q361" s="531"/>
      <c r="R361" s="531"/>
      <c r="S361" s="531"/>
    </row>
    <row r="362" spans="1:19" s="1" customFormat="1" ht="13" customHeight="1">
      <c r="A362" s="527"/>
      <c r="B362" s="17"/>
      <c r="C362" s="17" t="s">
        <v>3</v>
      </c>
      <c r="D362" s="21">
        <f>Kappe!$L$59</f>
        <v>1.56</v>
      </c>
      <c r="E362" s="19" t="s">
        <v>7</v>
      </c>
      <c r="F362" s="17"/>
      <c r="G362" s="527" t="s">
        <v>359</v>
      </c>
      <c r="H362" s="527"/>
      <c r="I362" s="527"/>
      <c r="J362" s="527"/>
      <c r="K362" s="527"/>
      <c r="L362" s="531"/>
      <c r="M362" s="531"/>
      <c r="N362" s="531"/>
      <c r="O362" s="531"/>
      <c r="P362" s="531"/>
      <c r="Q362" s="531"/>
      <c r="R362" s="531"/>
      <c r="S362" s="531"/>
    </row>
    <row r="363" spans="1:19" s="1" customFormat="1" ht="13" customHeight="1">
      <c r="A363" s="527"/>
      <c r="B363" s="17"/>
      <c r="C363" s="527" t="s">
        <v>65</v>
      </c>
      <c r="D363" s="21">
        <f>INDEX(Kappe!L60:N60,1,MATCH(Eingabe!$C$4,Kappe!$L$12:$N$12))</f>
        <v>30.368493181626725</v>
      </c>
      <c r="E363" s="19" t="s">
        <v>2</v>
      </c>
      <c r="F363" s="17"/>
      <c r="G363" s="527" t="s">
        <v>73</v>
      </c>
      <c r="H363" s="14"/>
      <c r="I363" s="14"/>
      <c r="J363" s="14"/>
      <c r="K363" s="17"/>
      <c r="L363" s="531"/>
      <c r="M363" s="531"/>
      <c r="N363" s="531"/>
      <c r="O363" s="531"/>
      <c r="P363" s="531"/>
      <c r="Q363" s="531"/>
      <c r="R363" s="531"/>
      <c r="S363" s="531"/>
    </row>
    <row r="364" spans="1:19" s="1" customFormat="1" ht="13" customHeight="1">
      <c r="A364" s="527"/>
      <c r="B364" s="17"/>
      <c r="C364" s="527" t="s">
        <v>307</v>
      </c>
      <c r="D364" s="21">
        <f>Kappe!$L$61</f>
        <v>29.921271248249965</v>
      </c>
      <c r="E364" s="19" t="s">
        <v>2</v>
      </c>
      <c r="F364" s="17"/>
      <c r="G364" s="527" t="s">
        <v>75</v>
      </c>
      <c r="H364" s="527"/>
      <c r="I364" s="18"/>
      <c r="J364" s="17"/>
      <c r="K364" s="17"/>
      <c r="L364" s="531"/>
      <c r="M364" s="531"/>
      <c r="N364" s="531"/>
      <c r="O364" s="531"/>
      <c r="P364" s="531"/>
      <c r="Q364" s="531"/>
      <c r="R364" s="531"/>
      <c r="S364" s="531"/>
    </row>
    <row r="365" spans="1:19" s="1" customFormat="1" ht="13" customHeight="1">
      <c r="A365" s="527"/>
      <c r="B365" s="17"/>
      <c r="C365" s="25" t="s">
        <v>90</v>
      </c>
      <c r="D365" s="26">
        <f>D364/D363</f>
        <v>0.98527348951092064</v>
      </c>
      <c r="E365" s="520" t="s">
        <v>7</v>
      </c>
      <c r="F365" s="27"/>
      <c r="G365" s="24" t="s">
        <v>46</v>
      </c>
      <c r="H365" s="527"/>
      <c r="I365" s="18"/>
      <c r="J365" s="17"/>
      <c r="K365" s="17"/>
      <c r="L365" s="531"/>
      <c r="M365" s="531"/>
      <c r="N365" s="531"/>
      <c r="O365" s="531"/>
      <c r="P365" s="531"/>
      <c r="Q365" s="531"/>
      <c r="R365" s="531"/>
      <c r="S365" s="531"/>
    </row>
    <row r="366" spans="1:19" s="1" customFormat="1" ht="6.8" customHeight="1">
      <c r="A366" s="4"/>
      <c r="B366" s="240"/>
      <c r="C366" s="240"/>
      <c r="D366" s="240"/>
      <c r="E366" s="240"/>
      <c r="F366" s="240"/>
      <c r="G366" s="240"/>
      <c r="H366" s="240"/>
      <c r="I366" s="240"/>
      <c r="J366" s="240"/>
      <c r="K366" s="4"/>
      <c r="L366" s="531"/>
      <c r="M366" s="531"/>
      <c r="N366" s="531"/>
      <c r="O366" s="531"/>
      <c r="P366" s="531"/>
      <c r="Q366" s="531"/>
      <c r="R366" s="531"/>
      <c r="S366" s="531"/>
    </row>
    <row r="367" spans="1:19" s="1" customFormat="1" ht="13" customHeight="1">
      <c r="A367" s="225"/>
      <c r="B367" s="238" t="s">
        <v>9</v>
      </c>
      <c r="C367" s="17"/>
      <c r="D367" s="17"/>
      <c r="E367" s="17"/>
      <c r="F367" s="527"/>
      <c r="G367" s="527"/>
      <c r="H367" s="527"/>
      <c r="I367" s="18"/>
      <c r="J367" s="224"/>
      <c r="K367" s="224"/>
      <c r="L367" s="531"/>
      <c r="M367" s="531"/>
      <c r="N367" s="531"/>
      <c r="O367" s="531"/>
      <c r="P367" s="531"/>
      <c r="Q367" s="531"/>
      <c r="R367" s="531"/>
      <c r="S367" s="531"/>
    </row>
    <row r="368" spans="1:19" s="1" customFormat="1" ht="13" customHeight="1">
      <c r="A368" s="225"/>
      <c r="B368" s="17"/>
      <c r="C368" s="4" t="s">
        <v>10</v>
      </c>
      <c r="D368" s="18">
        <f>Kappe!$L$64</f>
        <v>2</v>
      </c>
      <c r="E368" s="19" t="s">
        <v>7</v>
      </c>
      <c r="F368" s="17"/>
      <c r="G368" s="527" t="s">
        <v>1324</v>
      </c>
      <c r="H368" s="527"/>
      <c r="I368" s="18"/>
      <c r="J368" s="224"/>
      <c r="K368" s="224"/>
      <c r="L368" s="531"/>
      <c r="M368" s="531"/>
      <c r="N368" s="531"/>
      <c r="O368" s="531"/>
      <c r="P368" s="531"/>
      <c r="Q368" s="531"/>
      <c r="R368" s="531"/>
      <c r="S368" s="531"/>
    </row>
    <row r="369" spans="1:19" s="1" customFormat="1" ht="13" customHeight="1">
      <c r="A369" s="224"/>
      <c r="B369" s="17"/>
      <c r="C369" s="527" t="s">
        <v>18</v>
      </c>
      <c r="D369" s="21">
        <f>INDEX(Kappe!L65:N65,1,MATCH(Eingabe!$C$4,Kappe!$L$12:$N$12))</f>
        <v>82.085313531373316</v>
      </c>
      <c r="E369" s="237" t="s">
        <v>2</v>
      </c>
      <c r="F369" s="17"/>
      <c r="G369" s="527" t="s">
        <v>1324</v>
      </c>
      <c r="H369" s="17"/>
      <c r="I369" s="17"/>
      <c r="J369" s="224"/>
      <c r="K369" s="224"/>
      <c r="L369" s="531"/>
      <c r="M369" s="531"/>
      <c r="N369" s="531"/>
      <c r="O369" s="531"/>
      <c r="P369" s="531"/>
      <c r="Q369" s="531"/>
      <c r="R369" s="531"/>
      <c r="S369" s="531"/>
    </row>
    <row r="370" spans="1:19" s="1" customFormat="1" ht="13" customHeight="1">
      <c r="A370" s="224"/>
      <c r="B370" s="17"/>
      <c r="C370" s="17" t="s">
        <v>12</v>
      </c>
      <c r="D370" s="21">
        <f>Kappe!$L$66</f>
        <v>1.2</v>
      </c>
      <c r="E370" s="19" t="s">
        <v>7</v>
      </c>
      <c r="F370" s="17"/>
      <c r="G370" s="527" t="s">
        <v>1324</v>
      </c>
      <c r="H370" s="17"/>
      <c r="I370" s="17"/>
      <c r="J370" s="224"/>
      <c r="K370" s="224"/>
      <c r="L370" s="531"/>
      <c r="M370" s="531"/>
      <c r="N370" s="531"/>
      <c r="O370" s="531"/>
      <c r="P370" s="531"/>
      <c r="Q370" s="531"/>
      <c r="R370" s="531"/>
      <c r="S370" s="531"/>
    </row>
    <row r="371" spans="1:19" s="1" customFormat="1" ht="13" customHeight="1">
      <c r="A371" s="224"/>
      <c r="B371" s="17"/>
      <c r="C371" s="17" t="s">
        <v>72</v>
      </c>
      <c r="D371" s="21">
        <f>INDEX(Kappe!L67:N67,1,MATCH(Eingabe!$C$4,Kappe!$L$12:$N$12))</f>
        <v>68.404427942811097</v>
      </c>
      <c r="E371" s="19" t="s">
        <v>2</v>
      </c>
      <c r="F371" s="17"/>
      <c r="G371" s="527" t="s">
        <v>73</v>
      </c>
      <c r="H371" s="17"/>
      <c r="I371" s="17"/>
      <c r="J371" s="224"/>
      <c r="K371" s="224"/>
      <c r="L371" s="531"/>
      <c r="M371" s="531"/>
      <c r="N371" s="531"/>
      <c r="O371" s="531"/>
      <c r="P371" s="531"/>
      <c r="Q371" s="531"/>
      <c r="R371" s="531"/>
      <c r="S371" s="531"/>
    </row>
    <row r="372" spans="1:19" s="1" customFormat="1" ht="13" customHeight="1">
      <c r="A372" s="224"/>
      <c r="B372" s="17"/>
      <c r="C372" s="527" t="s">
        <v>307</v>
      </c>
      <c r="D372" s="21">
        <f>Kappe!$L$61</f>
        <v>29.921271248249965</v>
      </c>
      <c r="E372" s="19" t="s">
        <v>2</v>
      </c>
      <c r="F372" s="17"/>
      <c r="G372" s="527" t="s">
        <v>75</v>
      </c>
      <c r="H372" s="17"/>
      <c r="I372" s="17"/>
      <c r="J372" s="224"/>
      <c r="K372" s="224"/>
      <c r="L372" s="531"/>
      <c r="M372" s="531"/>
      <c r="N372" s="531"/>
      <c r="O372" s="531"/>
      <c r="P372" s="531"/>
      <c r="Q372" s="531"/>
      <c r="R372" s="531"/>
      <c r="S372" s="531"/>
    </row>
    <row r="373" spans="1:19" s="1" customFormat="1" ht="13" customHeight="1">
      <c r="A373" s="224"/>
      <c r="B373" s="17"/>
      <c r="C373" s="25" t="s">
        <v>91</v>
      </c>
      <c r="D373" s="26">
        <f>D372/D371</f>
        <v>0.43741716944501569</v>
      </c>
      <c r="E373" s="520" t="s">
        <v>7</v>
      </c>
      <c r="F373" s="27"/>
      <c r="G373" s="24" t="s">
        <v>46</v>
      </c>
      <c r="H373" s="17"/>
      <c r="I373" s="17"/>
      <c r="J373" s="224"/>
      <c r="K373" s="224"/>
      <c r="L373" s="531"/>
      <c r="M373" s="531"/>
      <c r="N373" s="531"/>
      <c r="O373" s="531"/>
      <c r="P373" s="531"/>
      <c r="Q373" s="531"/>
      <c r="R373" s="531"/>
      <c r="S373" s="531"/>
    </row>
    <row r="374" spans="1:19" s="1" customFormat="1" ht="6.8" customHeight="1">
      <c r="A374" s="228"/>
      <c r="B374" s="240"/>
      <c r="C374" s="240"/>
      <c r="D374" s="240"/>
      <c r="E374" s="240"/>
      <c r="F374" s="240"/>
      <c r="G374" s="240"/>
      <c r="H374" s="240"/>
      <c r="I374" s="240"/>
      <c r="J374" s="242"/>
      <c r="K374" s="228"/>
      <c r="L374" s="531"/>
      <c r="M374" s="531"/>
      <c r="N374" s="531"/>
      <c r="O374" s="531"/>
      <c r="P374" s="531"/>
      <c r="Q374" s="531"/>
      <c r="R374" s="531"/>
      <c r="S374" s="531"/>
    </row>
    <row r="375" spans="1:19" s="1" customFormat="1" ht="13" customHeight="1">
      <c r="A375" s="1034" t="s">
        <v>518</v>
      </c>
      <c r="B375" s="1034"/>
      <c r="C375" s="1034"/>
      <c r="D375" s="1034"/>
      <c r="E375" s="1034"/>
      <c r="F375" s="1034"/>
      <c r="G375" s="1034"/>
      <c r="H375" s="1034"/>
      <c r="I375" s="1034"/>
      <c r="J375" s="1034"/>
      <c r="K375" s="519"/>
      <c r="L375" s="531"/>
      <c r="M375" s="531"/>
      <c r="N375" s="531"/>
      <c r="O375" s="531"/>
      <c r="P375" s="531"/>
      <c r="Q375" s="531"/>
      <c r="R375" s="531"/>
      <c r="S375" s="531"/>
    </row>
    <row r="376" spans="1:19" s="1" customFormat="1" ht="5.9" customHeight="1">
      <c r="A376" s="224"/>
      <c r="B376" s="17"/>
      <c r="C376" s="23"/>
      <c r="D376" s="18"/>
      <c r="E376" s="19"/>
      <c r="F376" s="17"/>
      <c r="G376" s="527"/>
      <c r="H376" s="20"/>
      <c r="I376" s="17"/>
      <c r="J376" s="224"/>
      <c r="K376" s="224"/>
      <c r="L376" s="531"/>
      <c r="M376" s="531"/>
      <c r="N376" s="531"/>
      <c r="O376" s="531"/>
      <c r="P376" s="531"/>
      <c r="Q376" s="531"/>
      <c r="R376" s="531"/>
      <c r="S376" s="531"/>
    </row>
    <row r="377" spans="1:19" s="1" customFormat="1" ht="13" customHeight="1">
      <c r="A377" s="224"/>
      <c r="B377" s="17"/>
      <c r="C377" s="23" t="s">
        <v>85</v>
      </c>
      <c r="D377" s="21">
        <f>INDEX(Kappe!L89:N89,1,MATCH(Eingabe!$C$4,Kappe!$L$12:$N$12))</f>
        <v>0.13758592058010941</v>
      </c>
      <c r="E377" s="19" t="s">
        <v>7</v>
      </c>
      <c r="F377" s="17"/>
      <c r="G377" s="527" t="s">
        <v>515</v>
      </c>
      <c r="H377" s="20"/>
      <c r="I377" s="17"/>
      <c r="J377" s="224"/>
      <c r="K377" s="224"/>
      <c r="L377" s="531"/>
      <c r="M377" s="531"/>
      <c r="N377" s="531"/>
      <c r="O377" s="531"/>
      <c r="P377" s="531"/>
      <c r="Q377" s="531"/>
      <c r="R377" s="531"/>
      <c r="S377" s="531"/>
    </row>
    <row r="378" spans="1:19" s="1" customFormat="1" ht="13" customHeight="1">
      <c r="A378" s="224"/>
      <c r="B378" s="17"/>
      <c r="C378" s="23" t="s">
        <v>87</v>
      </c>
      <c r="D378" s="21">
        <f>INDEX(Kappe!L90:N90,1,MATCH(Eingabe!$C$4,Kappe!$L$12:$N$12))</f>
        <v>0.98527348951092064</v>
      </c>
      <c r="E378" s="19" t="s">
        <v>7</v>
      </c>
      <c r="F378" s="17"/>
      <c r="G378" s="527" t="s">
        <v>519</v>
      </c>
      <c r="H378" s="20"/>
      <c r="I378" s="17"/>
      <c r="J378" s="224"/>
      <c r="K378" s="224"/>
      <c r="L378" s="531"/>
      <c r="M378" s="531"/>
      <c r="N378" s="531"/>
      <c r="O378" s="531"/>
      <c r="P378" s="531"/>
      <c r="Q378" s="531"/>
      <c r="R378" s="531"/>
      <c r="S378" s="531"/>
    </row>
    <row r="379" spans="1:19" s="1" customFormat="1" ht="1.1499999999999999" customHeight="1">
      <c r="A379" s="224"/>
      <c r="B379" s="17"/>
      <c r="C379" s="23"/>
      <c r="D379" s="21"/>
      <c r="E379" s="19"/>
      <c r="F379" s="17"/>
      <c r="G379" s="527"/>
      <c r="H379" s="20"/>
      <c r="I379" s="17"/>
      <c r="J379" s="224"/>
      <c r="K379" s="224"/>
      <c r="L379" s="531"/>
      <c r="M379" s="531"/>
      <c r="N379" s="531"/>
      <c r="O379" s="531"/>
      <c r="P379" s="531"/>
      <c r="Q379" s="531"/>
      <c r="R379" s="531"/>
      <c r="S379" s="531"/>
    </row>
    <row r="380" spans="1:19" s="1" customFormat="1" ht="13" customHeight="1">
      <c r="A380" s="224"/>
      <c r="B380" s="17"/>
      <c r="C380" s="25" t="s">
        <v>548</v>
      </c>
      <c r="D380" s="26">
        <f>INDEX(Kappe!L92:N92,1,MATCH(Eingabe!$C$4,Kappe!$L$12:$N$12))</f>
        <v>0.93571617507585847</v>
      </c>
      <c r="E380" s="520" t="s">
        <v>7</v>
      </c>
      <c r="F380" s="27"/>
      <c r="G380" s="24" t="s">
        <v>1324</v>
      </c>
      <c r="H380" s="20"/>
      <c r="I380" s="17"/>
      <c r="J380" s="224"/>
      <c r="K380" s="224"/>
      <c r="L380" s="531"/>
      <c r="M380" s="531"/>
      <c r="N380" s="531"/>
      <c r="O380" s="531"/>
      <c r="P380" s="531"/>
      <c r="Q380" s="531"/>
      <c r="R380" s="531"/>
      <c r="S380" s="531"/>
    </row>
    <row r="381" spans="1:19" s="1" customFormat="1" ht="5.9" customHeight="1">
      <c r="A381" s="531"/>
      <c r="B381" s="531"/>
      <c r="C381" s="531"/>
      <c r="D381" s="531"/>
      <c r="E381" s="531"/>
      <c r="F381" s="531"/>
      <c r="G381" s="531"/>
      <c r="H381" s="531"/>
      <c r="I381" s="531"/>
      <c r="J381" s="531"/>
      <c r="K381" s="531"/>
      <c r="L381" s="531"/>
      <c r="M381" s="531"/>
      <c r="N381" s="531"/>
      <c r="O381" s="531"/>
      <c r="P381" s="531"/>
      <c r="Q381" s="531"/>
      <c r="R381" s="531"/>
      <c r="S381" s="531"/>
    </row>
    <row r="382" spans="1:19" s="1" customFormat="1">
      <c r="A382" s="531"/>
      <c r="B382" s="531"/>
      <c r="C382" s="531"/>
      <c r="D382" s="531"/>
      <c r="E382" s="531"/>
      <c r="F382" s="531"/>
      <c r="G382" s="531"/>
      <c r="H382" s="531"/>
      <c r="I382" s="531"/>
      <c r="J382" s="531"/>
      <c r="K382" s="531"/>
      <c r="L382" s="531"/>
      <c r="M382" s="531"/>
      <c r="N382" s="531"/>
      <c r="O382" s="531"/>
      <c r="P382" s="531"/>
      <c r="Q382" s="531"/>
      <c r="R382" s="531"/>
      <c r="S382" s="531"/>
    </row>
    <row r="383" spans="1:19" s="1" customFormat="1">
      <c r="A383" s="531"/>
      <c r="B383" s="531"/>
      <c r="C383" s="531"/>
      <c r="D383" s="531"/>
      <c r="E383" s="531"/>
      <c r="F383" s="531"/>
      <c r="G383" s="531"/>
      <c r="H383" s="531"/>
      <c r="I383" s="531"/>
      <c r="J383" s="531"/>
      <c r="K383" s="531"/>
      <c r="L383" s="531"/>
      <c r="M383" s="531"/>
      <c r="N383" s="531"/>
      <c r="O383" s="531"/>
      <c r="P383" s="531"/>
      <c r="Q383" s="531"/>
      <c r="R383" s="531"/>
      <c r="S383" s="531"/>
    </row>
    <row r="384" spans="1:19" s="1" customFormat="1">
      <c r="A384" s="531"/>
      <c r="B384" s="531"/>
      <c r="C384" s="531"/>
      <c r="D384" s="531"/>
      <c r="E384" s="531"/>
      <c r="F384" s="531"/>
      <c r="G384" s="531"/>
      <c r="H384" s="531"/>
      <c r="I384" s="531"/>
      <c r="J384" s="531"/>
      <c r="K384" s="531"/>
      <c r="L384" s="531"/>
      <c r="M384" s="531"/>
      <c r="N384" s="531"/>
      <c r="O384" s="531"/>
      <c r="P384" s="531"/>
      <c r="Q384" s="531"/>
      <c r="R384" s="531"/>
      <c r="S384" s="531"/>
    </row>
    <row r="385" spans="1:19" s="1" customFormat="1">
      <c r="A385" s="531"/>
      <c r="B385" s="531"/>
      <c r="C385" s="531"/>
      <c r="D385" s="531"/>
      <c r="E385" s="531"/>
      <c r="F385" s="531"/>
      <c r="G385" s="531"/>
      <c r="H385" s="531"/>
      <c r="I385" s="531"/>
      <c r="J385" s="531"/>
      <c r="K385" s="531"/>
      <c r="L385" s="531"/>
      <c r="M385" s="531"/>
      <c r="N385" s="531"/>
      <c r="O385" s="531"/>
      <c r="P385" s="531"/>
      <c r="Q385" s="531"/>
      <c r="R385" s="531"/>
      <c r="S385" s="531"/>
    </row>
    <row r="386" spans="1:19" s="1" customFormat="1">
      <c r="A386" s="531"/>
      <c r="B386" s="531"/>
      <c r="C386" s="531"/>
      <c r="D386" s="531"/>
      <c r="E386" s="531"/>
      <c r="F386" s="531"/>
      <c r="G386" s="531"/>
      <c r="H386" s="531"/>
      <c r="I386" s="531"/>
      <c r="J386" s="531"/>
      <c r="K386" s="531"/>
      <c r="L386" s="531"/>
      <c r="M386" s="531"/>
      <c r="N386" s="531"/>
      <c r="O386" s="531"/>
      <c r="P386" s="531"/>
      <c r="Q386" s="531"/>
      <c r="R386" s="531"/>
      <c r="S386" s="531"/>
    </row>
    <row r="387" spans="1:19" s="1" customFormat="1">
      <c r="A387" s="531"/>
      <c r="B387" s="531"/>
      <c r="C387" s="531"/>
      <c r="D387" s="531"/>
      <c r="E387" s="531"/>
      <c r="F387" s="531"/>
      <c r="G387" s="531"/>
      <c r="H387" s="531"/>
      <c r="I387" s="531"/>
      <c r="J387" s="531"/>
      <c r="K387" s="531"/>
      <c r="L387" s="531"/>
      <c r="M387" s="531"/>
      <c r="N387" s="531"/>
      <c r="O387" s="531"/>
      <c r="P387" s="531"/>
      <c r="Q387" s="531"/>
      <c r="R387" s="531"/>
      <c r="S387" s="531"/>
    </row>
    <row r="388" spans="1:19" s="1" customFormat="1">
      <c r="A388" s="531"/>
      <c r="B388" s="531"/>
      <c r="C388" s="531"/>
      <c r="D388" s="531"/>
      <c r="E388" s="531"/>
      <c r="F388" s="531"/>
      <c r="G388" s="531"/>
      <c r="H388" s="531"/>
      <c r="I388" s="531"/>
      <c r="J388" s="531"/>
      <c r="K388" s="531"/>
      <c r="L388" s="531"/>
      <c r="M388" s="531"/>
      <c r="N388" s="531"/>
      <c r="O388" s="531"/>
      <c r="P388" s="531"/>
      <c r="Q388" s="531"/>
      <c r="R388" s="531"/>
      <c r="S388" s="531"/>
    </row>
    <row r="389" spans="1:19" s="1" customFormat="1">
      <c r="A389" s="531"/>
      <c r="B389" s="531"/>
      <c r="C389" s="531"/>
      <c r="D389" s="531"/>
      <c r="E389" s="531"/>
      <c r="F389" s="531"/>
      <c r="G389" s="531"/>
      <c r="H389" s="531"/>
      <c r="I389" s="531"/>
      <c r="J389" s="531"/>
      <c r="K389" s="531"/>
      <c r="L389" s="531"/>
      <c r="M389" s="531"/>
      <c r="N389" s="531"/>
      <c r="O389" s="531"/>
      <c r="P389" s="531"/>
      <c r="Q389" s="531"/>
      <c r="R389" s="531"/>
      <c r="S389" s="531"/>
    </row>
    <row r="390" spans="1:19" s="1" customFormat="1">
      <c r="A390" s="531"/>
      <c r="B390" s="531"/>
      <c r="C390" s="531"/>
      <c r="D390" s="531"/>
      <c r="E390" s="531"/>
      <c r="F390" s="531"/>
      <c r="G390" s="531"/>
      <c r="H390" s="531"/>
      <c r="I390" s="531"/>
      <c r="J390" s="531"/>
      <c r="K390" s="531"/>
      <c r="L390" s="531"/>
      <c r="M390" s="531"/>
      <c r="N390" s="531"/>
      <c r="O390" s="531"/>
      <c r="P390" s="531"/>
      <c r="Q390" s="531"/>
      <c r="R390" s="531"/>
      <c r="S390" s="531"/>
    </row>
    <row r="391" spans="1:19" s="1" customFormat="1">
      <c r="A391" s="531"/>
      <c r="B391" s="531"/>
      <c r="C391" s="531"/>
      <c r="D391" s="531"/>
      <c r="E391" s="531"/>
      <c r="F391" s="531"/>
      <c r="G391" s="531"/>
      <c r="H391" s="531"/>
      <c r="I391" s="531"/>
      <c r="J391" s="531"/>
      <c r="K391" s="531"/>
      <c r="L391" s="531"/>
      <c r="M391" s="531"/>
      <c r="N391" s="531"/>
      <c r="O391" s="531"/>
      <c r="P391" s="531"/>
      <c r="Q391" s="531"/>
      <c r="R391" s="531"/>
      <c r="S391" s="531"/>
    </row>
    <row r="392" spans="1:19" s="1" customFormat="1">
      <c r="A392" s="531"/>
      <c r="B392" s="531"/>
      <c r="C392" s="531"/>
      <c r="D392" s="531"/>
      <c r="E392" s="531"/>
      <c r="F392" s="531"/>
      <c r="G392" s="531"/>
      <c r="H392" s="531"/>
      <c r="I392" s="531"/>
      <c r="J392" s="531"/>
      <c r="K392" s="531"/>
      <c r="L392" s="531"/>
      <c r="M392" s="531"/>
      <c r="N392" s="531"/>
      <c r="O392" s="531"/>
      <c r="P392" s="531"/>
      <c r="Q392" s="531"/>
      <c r="R392" s="531"/>
      <c r="S392" s="531"/>
    </row>
    <row r="393" spans="1:19" s="1" customFormat="1">
      <c r="A393" s="531"/>
      <c r="B393" s="531"/>
      <c r="C393" s="531"/>
      <c r="D393" s="531"/>
      <c r="E393" s="531"/>
      <c r="F393" s="531"/>
      <c r="G393" s="531"/>
      <c r="H393" s="531"/>
      <c r="I393" s="531"/>
      <c r="J393" s="531"/>
      <c r="K393" s="531"/>
      <c r="L393" s="531"/>
      <c r="M393" s="531"/>
      <c r="N393" s="531"/>
      <c r="O393" s="531"/>
      <c r="P393" s="531"/>
      <c r="Q393" s="531"/>
      <c r="R393" s="531"/>
      <c r="S393" s="531"/>
    </row>
    <row r="394" spans="1:19" s="1" customFormat="1">
      <c r="A394" s="531"/>
      <c r="B394" s="531"/>
      <c r="C394" s="531"/>
      <c r="D394" s="531"/>
      <c r="E394" s="531"/>
      <c r="F394" s="531"/>
      <c r="G394" s="531"/>
      <c r="H394" s="531"/>
      <c r="I394" s="531"/>
      <c r="J394" s="531"/>
      <c r="K394" s="531"/>
      <c r="L394" s="531"/>
      <c r="M394" s="531"/>
      <c r="N394" s="531"/>
      <c r="O394" s="531"/>
      <c r="P394" s="531"/>
      <c r="Q394" s="531"/>
      <c r="R394" s="531"/>
      <c r="S394" s="531"/>
    </row>
    <row r="395" spans="1:19" s="1" customFormat="1">
      <c r="A395" s="531"/>
      <c r="B395" s="531"/>
      <c r="C395" s="531"/>
      <c r="D395" s="531"/>
      <c r="E395" s="531"/>
      <c r="F395" s="531"/>
      <c r="G395" s="531"/>
      <c r="H395" s="531"/>
      <c r="I395" s="531"/>
      <c r="J395" s="531"/>
      <c r="K395" s="531"/>
      <c r="L395" s="531"/>
      <c r="M395" s="531"/>
      <c r="N395" s="531"/>
      <c r="O395" s="531"/>
      <c r="P395" s="531"/>
      <c r="Q395" s="531"/>
      <c r="R395" s="531"/>
      <c r="S395" s="531"/>
    </row>
    <row r="396" spans="1:19" s="1" customFormat="1">
      <c r="A396" s="531"/>
      <c r="B396" s="531"/>
      <c r="C396" s="531"/>
      <c r="D396" s="531"/>
      <c r="E396" s="531"/>
      <c r="F396" s="531"/>
      <c r="G396" s="531"/>
      <c r="H396" s="531"/>
      <c r="I396" s="531"/>
      <c r="J396" s="531"/>
      <c r="K396" s="531"/>
      <c r="L396" s="531"/>
      <c r="M396" s="531"/>
      <c r="N396" s="531"/>
      <c r="O396" s="531"/>
      <c r="P396" s="531"/>
      <c r="Q396" s="531"/>
      <c r="R396" s="531"/>
      <c r="S396" s="531"/>
    </row>
    <row r="397" spans="1:19" s="1" customFormat="1" ht="5.9" customHeight="1">
      <c r="A397" s="531"/>
      <c r="B397" s="531"/>
      <c r="C397" s="531"/>
      <c r="D397" s="531"/>
      <c r="E397" s="531"/>
      <c r="F397" s="531"/>
      <c r="G397" s="531"/>
      <c r="H397" s="531"/>
      <c r="I397" s="531"/>
      <c r="J397" s="531"/>
      <c r="K397" s="531"/>
      <c r="L397" s="531"/>
      <c r="M397" s="531"/>
      <c r="N397" s="531"/>
      <c r="O397" s="531"/>
      <c r="P397" s="531"/>
      <c r="Q397" s="531"/>
      <c r="R397" s="531"/>
      <c r="S397" s="531"/>
    </row>
    <row r="398" spans="1:19" s="1" customFormat="1">
      <c r="A398" s="531"/>
      <c r="B398" s="531"/>
      <c r="C398" s="531"/>
      <c r="D398" s="531"/>
      <c r="E398" s="531"/>
      <c r="F398" s="531"/>
      <c r="G398" s="531"/>
      <c r="H398" s="531"/>
      <c r="I398" s="531"/>
      <c r="J398" s="531"/>
      <c r="K398" s="531"/>
      <c r="L398" s="531"/>
      <c r="M398" s="531"/>
      <c r="N398" s="531"/>
      <c r="O398" s="531"/>
      <c r="P398" s="531"/>
      <c r="Q398" s="531"/>
      <c r="R398" s="531"/>
      <c r="S398" s="531"/>
    </row>
    <row r="399" spans="1:19" s="1" customFormat="1">
      <c r="A399" s="531"/>
      <c r="B399" s="531"/>
      <c r="C399" s="531"/>
      <c r="D399" s="531"/>
      <c r="E399" s="531"/>
      <c r="F399" s="531"/>
      <c r="G399" s="531"/>
      <c r="H399" s="531"/>
      <c r="I399" s="531"/>
      <c r="J399" s="531"/>
      <c r="K399" s="531"/>
      <c r="L399" s="531"/>
      <c r="M399" s="531"/>
      <c r="N399" s="531"/>
      <c r="O399" s="531"/>
      <c r="P399" s="531"/>
      <c r="Q399" s="531"/>
      <c r="R399" s="531"/>
      <c r="S399" s="531"/>
    </row>
    <row r="400" spans="1:19" s="1" customFormat="1">
      <c r="A400" s="531"/>
      <c r="B400" s="531"/>
      <c r="C400" s="531"/>
      <c r="D400" s="531"/>
      <c r="E400" s="531"/>
      <c r="F400" s="531"/>
      <c r="G400" s="531"/>
      <c r="H400" s="531"/>
      <c r="I400" s="531"/>
      <c r="J400" s="531"/>
      <c r="K400" s="531"/>
      <c r="L400" s="531"/>
      <c r="M400" s="531"/>
      <c r="N400" s="531"/>
      <c r="O400" s="531"/>
      <c r="P400" s="531"/>
      <c r="Q400" s="531"/>
      <c r="R400" s="531"/>
      <c r="S400" s="531"/>
    </row>
    <row r="401" spans="1:19" s="1" customFormat="1">
      <c r="A401" s="531"/>
      <c r="B401" s="531"/>
      <c r="C401" s="531"/>
      <c r="D401" s="531"/>
      <c r="E401" s="531"/>
      <c r="F401" s="531"/>
      <c r="G401" s="531"/>
      <c r="H401" s="531"/>
      <c r="I401" s="531"/>
      <c r="J401" s="531"/>
      <c r="K401" s="531"/>
      <c r="L401" s="531"/>
      <c r="M401" s="531"/>
      <c r="N401" s="531"/>
      <c r="O401" s="531"/>
      <c r="P401" s="531"/>
      <c r="Q401" s="531"/>
      <c r="R401" s="531"/>
      <c r="S401" s="531"/>
    </row>
    <row r="402" spans="1:19" s="1" customFormat="1">
      <c r="A402" s="531"/>
      <c r="B402" s="531"/>
      <c r="C402" s="531"/>
      <c r="D402" s="531"/>
      <c r="E402" s="531"/>
      <c r="F402" s="531"/>
      <c r="G402" s="531"/>
      <c r="H402" s="531"/>
      <c r="I402" s="531"/>
      <c r="J402" s="531"/>
      <c r="K402" s="531"/>
      <c r="L402" s="531"/>
      <c r="M402" s="531"/>
      <c r="N402" s="531"/>
      <c r="O402" s="531"/>
      <c r="P402" s="531"/>
      <c r="Q402" s="531"/>
      <c r="R402" s="531"/>
      <c r="S402" s="531"/>
    </row>
    <row r="403" spans="1:19" s="1" customFormat="1">
      <c r="A403" s="531"/>
      <c r="B403" s="531"/>
      <c r="C403" s="531"/>
      <c r="D403" s="531"/>
      <c r="E403" s="531"/>
      <c r="F403" s="531"/>
      <c r="G403" s="531"/>
      <c r="H403" s="531"/>
      <c r="I403" s="531"/>
      <c r="J403" s="531"/>
      <c r="K403" s="531"/>
      <c r="L403" s="531"/>
      <c r="M403" s="531"/>
      <c r="N403" s="531"/>
      <c r="O403" s="531"/>
      <c r="P403" s="531"/>
      <c r="Q403" s="531"/>
      <c r="R403" s="531"/>
      <c r="S403" s="531"/>
    </row>
    <row r="404" spans="1:19" s="1" customFormat="1">
      <c r="A404" s="531"/>
      <c r="B404" s="531"/>
      <c r="C404" s="531"/>
      <c r="D404" s="531"/>
      <c r="E404" s="531"/>
      <c r="F404" s="531"/>
      <c r="G404" s="531"/>
      <c r="H404" s="531"/>
      <c r="I404" s="531"/>
      <c r="J404" s="531"/>
      <c r="K404" s="531"/>
      <c r="L404" s="531"/>
      <c r="M404" s="531"/>
      <c r="N404" s="531"/>
      <c r="O404" s="531"/>
      <c r="P404" s="531"/>
      <c r="Q404" s="531"/>
      <c r="R404" s="531"/>
      <c r="S404" s="531"/>
    </row>
    <row r="405" spans="1:19" s="1" customFormat="1" ht="5.9" customHeight="1">
      <c r="A405" s="531"/>
      <c r="B405" s="531"/>
      <c r="C405" s="531"/>
      <c r="D405" s="531"/>
      <c r="E405" s="531"/>
      <c r="F405" s="531"/>
      <c r="G405" s="531"/>
      <c r="H405" s="531"/>
      <c r="I405" s="531"/>
      <c r="J405" s="531"/>
      <c r="K405" s="531"/>
      <c r="L405" s="531"/>
      <c r="M405" s="531"/>
      <c r="N405" s="531"/>
      <c r="O405" s="531"/>
      <c r="P405" s="531"/>
      <c r="Q405" s="531"/>
      <c r="R405" s="531"/>
      <c r="S405" s="531"/>
    </row>
    <row r="406" spans="1:19" s="1" customFormat="1">
      <c r="A406" s="531"/>
      <c r="B406" s="531"/>
      <c r="C406" s="531"/>
      <c r="D406" s="531"/>
      <c r="E406" s="531"/>
      <c r="F406" s="531"/>
      <c r="G406" s="531"/>
      <c r="H406" s="531"/>
      <c r="I406" s="531"/>
      <c r="J406" s="531"/>
      <c r="K406" s="531"/>
      <c r="L406" s="531"/>
      <c r="M406" s="531"/>
      <c r="N406" s="531"/>
      <c r="O406" s="531"/>
      <c r="P406" s="531"/>
      <c r="Q406" s="531"/>
      <c r="R406" s="531"/>
      <c r="S406" s="531"/>
    </row>
    <row r="407" spans="1:19" s="1" customFormat="1">
      <c r="A407" s="531"/>
      <c r="B407" s="531"/>
      <c r="C407" s="531"/>
      <c r="D407" s="531"/>
      <c r="E407" s="531"/>
      <c r="F407" s="531"/>
      <c r="G407" s="531"/>
      <c r="H407" s="531"/>
      <c r="I407" s="531"/>
      <c r="J407" s="531"/>
      <c r="K407" s="531"/>
      <c r="L407" s="531"/>
      <c r="M407" s="531"/>
      <c r="N407" s="531"/>
      <c r="O407" s="531"/>
      <c r="P407" s="531"/>
      <c r="Q407" s="531"/>
      <c r="R407" s="531"/>
      <c r="S407" s="531"/>
    </row>
    <row r="408" spans="1:19" s="1" customFormat="1">
      <c r="A408" s="531"/>
      <c r="B408" s="531"/>
      <c r="C408" s="531"/>
      <c r="D408" s="531"/>
      <c r="E408" s="531"/>
      <c r="F408" s="531"/>
      <c r="G408" s="531"/>
      <c r="H408" s="531"/>
      <c r="I408" s="531"/>
      <c r="J408" s="531"/>
      <c r="K408" s="531"/>
      <c r="L408" s="531"/>
      <c r="M408" s="531"/>
      <c r="N408" s="531"/>
      <c r="O408" s="531"/>
      <c r="P408" s="531"/>
      <c r="Q408" s="531"/>
      <c r="R408" s="531"/>
      <c r="S408" s="531"/>
    </row>
    <row r="409" spans="1:19" s="1" customFormat="1">
      <c r="A409" s="531"/>
      <c r="B409" s="531"/>
      <c r="C409" s="531"/>
      <c r="D409" s="531"/>
      <c r="E409" s="531"/>
      <c r="F409" s="531"/>
      <c r="G409" s="531"/>
      <c r="H409" s="531"/>
      <c r="I409" s="531"/>
      <c r="J409" s="531"/>
      <c r="K409" s="531"/>
      <c r="L409" s="531"/>
      <c r="M409" s="531"/>
      <c r="N409" s="531"/>
      <c r="O409" s="531"/>
      <c r="P409" s="531"/>
      <c r="Q409" s="531"/>
      <c r="R409" s="531"/>
      <c r="S409" s="531"/>
    </row>
    <row r="410" spans="1:19" s="1" customFormat="1">
      <c r="A410" s="531"/>
      <c r="B410" s="531"/>
      <c r="C410" s="531"/>
      <c r="D410" s="531"/>
      <c r="E410" s="531"/>
      <c r="F410" s="531"/>
      <c r="G410" s="531"/>
      <c r="H410" s="531"/>
      <c r="I410" s="531"/>
      <c r="J410" s="531"/>
      <c r="K410" s="531"/>
      <c r="L410" s="531"/>
      <c r="M410" s="531"/>
      <c r="N410" s="531"/>
      <c r="O410" s="531"/>
      <c r="P410" s="531"/>
      <c r="Q410" s="531"/>
      <c r="R410" s="531"/>
      <c r="S410" s="531"/>
    </row>
    <row r="411" spans="1:19" s="1" customFormat="1"/>
    <row r="412" spans="1:19" s="1" customFormat="1"/>
    <row r="413" spans="1:19" s="1" customFormat="1"/>
    <row r="414" spans="1:19" s="1" customFormat="1"/>
    <row r="415" spans="1:19" s="1" customFormat="1"/>
    <row r="416" spans="1:19"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50" ht="15.45" customHeight="1"/>
    <row r="451" ht="15.45" customHeight="1"/>
    <row r="452" ht="15.45" customHeight="1"/>
    <row r="453" ht="15.45" customHeight="1"/>
    <row r="455" ht="13" customHeight="1"/>
    <row r="456" ht="13" customHeight="1"/>
    <row r="457" ht="13" customHeight="1"/>
  </sheetData>
  <sheetProtection algorithmName="SHA-512" hashValue="uJfivAEvWss35WFVQQDoOs3gZzKHz0oFclOoUlTaWHs49zk2nXNURaFxtmYafeiLvhjYIsQvwiqcMwzyPgRcuA==" saltValue="fgz2SYpjA+kIjuPPRNiXjg==" spinCount="100000" sheet="1" objects="1" scenarios="1" selectLockedCells="1"/>
  <customSheetViews>
    <customSheetView guid="{39DD0EDE-63E7-470F-AA9E-0FA02F254C3F}" scale="85" showGridLines="0" outlineSymbols="0" zeroValues="0" topLeftCell="A118">
      <selection activeCell="P151" sqref="P151"/>
      <rowBreaks count="5" manualBreakCount="5">
        <brk id="56" max="10" man="1"/>
        <brk id="106" max="16383" man="1"/>
        <brk id="153" max="16383" man="1"/>
        <brk id="201" max="16383" man="1"/>
        <brk id="247" max="16383" man="1"/>
      </rowBreaks>
      <pageMargins left="0.81" right="0.63" top="0.98425196850393704" bottom="0.99" header="0.51181102362204722" footer="0.51181102362204722"/>
      <pageSetup paperSize="9" orientation="portrait" r:id="rId1"/>
      <headerFooter alignWithMargins="0">
        <oddHeader>&amp;C&amp;G</oddHeader>
        <oddFooter>Seite &amp;P von &amp;N</oddFooter>
      </headerFooter>
    </customSheetView>
  </customSheetViews>
  <mergeCells count="70">
    <mergeCell ref="I5:J5"/>
    <mergeCell ref="B9:J9"/>
    <mergeCell ref="C5:G5"/>
    <mergeCell ref="B51:C51"/>
    <mergeCell ref="C36:E36"/>
    <mergeCell ref="B41:C41"/>
    <mergeCell ref="H6:J6"/>
    <mergeCell ref="D49:E49"/>
    <mergeCell ref="B7:J7"/>
    <mergeCell ref="B40:C40"/>
    <mergeCell ref="A46:E46"/>
    <mergeCell ref="A32:E32"/>
    <mergeCell ref="A35:E35"/>
    <mergeCell ref="G32:J32"/>
    <mergeCell ref="A45:E45"/>
    <mergeCell ref="I1:J1"/>
    <mergeCell ref="I2:J2"/>
    <mergeCell ref="I3:J3"/>
    <mergeCell ref="I4:J4"/>
    <mergeCell ref="C4:G4"/>
    <mergeCell ref="C1:G1"/>
    <mergeCell ref="C2:G2"/>
    <mergeCell ref="C3:G3"/>
    <mergeCell ref="G54:J54"/>
    <mergeCell ref="G58:J58"/>
    <mergeCell ref="G56:J56"/>
    <mergeCell ref="A57:E57"/>
    <mergeCell ref="G57:J57"/>
    <mergeCell ref="B54:C54"/>
    <mergeCell ref="B109:D109"/>
    <mergeCell ref="C82:D82"/>
    <mergeCell ref="G82:H82"/>
    <mergeCell ref="A191:J191"/>
    <mergeCell ref="A249:J249"/>
    <mergeCell ref="C91:D91"/>
    <mergeCell ref="G91:H91"/>
    <mergeCell ref="B89:D89"/>
    <mergeCell ref="A114:J114"/>
    <mergeCell ref="A116:J116"/>
    <mergeCell ref="B100:D100"/>
    <mergeCell ref="A111:J111"/>
    <mergeCell ref="A112:J112"/>
    <mergeCell ref="A118:J118"/>
    <mergeCell ref="A154:J154"/>
    <mergeCell ref="A184:J184"/>
    <mergeCell ref="G59:J59"/>
    <mergeCell ref="A61:J61"/>
    <mergeCell ref="A87:J87"/>
    <mergeCell ref="G102:H102"/>
    <mergeCell ref="C102:D102"/>
    <mergeCell ref="B98:D98"/>
    <mergeCell ref="G60:J60"/>
    <mergeCell ref="A71:J71"/>
    <mergeCell ref="B80:D80"/>
    <mergeCell ref="B63:J63"/>
    <mergeCell ref="B67:J67"/>
    <mergeCell ref="C75:D75"/>
    <mergeCell ref="G75:H75"/>
    <mergeCell ref="B73:D73"/>
    <mergeCell ref="B115:I115"/>
    <mergeCell ref="A317:J317"/>
    <mergeCell ref="A326:J326"/>
    <mergeCell ref="A359:J359"/>
    <mergeCell ref="A375:J375"/>
    <mergeCell ref="A193:J193"/>
    <mergeCell ref="A226:J226"/>
    <mergeCell ref="A242:J242"/>
    <mergeCell ref="A251:J251"/>
    <mergeCell ref="A287:J287"/>
    <mergeCell ref="A324:J324"/>
  </mergeCells>
  <phoneticPr fontId="25" type="noConversion"/>
  <conditionalFormatting sqref="B113:K113">
    <cfRule type="cellIs" dxfId="44" priority="11" operator="equal">
      <formula>"Verankerung ist nicht zulässig"</formula>
    </cfRule>
    <cfRule type="cellIs" dxfId="43" priority="12" operator="equal">
      <formula>"Verankerung ist zulässig"</formula>
    </cfRule>
  </conditionalFormatting>
  <conditionalFormatting sqref="C97">
    <cfRule type="expression" dxfId="42" priority="10">
      <formula>$C$97&gt;100</formula>
    </cfRule>
  </conditionalFormatting>
  <conditionalFormatting sqref="D97">
    <cfRule type="expression" dxfId="41" priority="9">
      <formula>$D$97&gt;100</formula>
    </cfRule>
  </conditionalFormatting>
  <conditionalFormatting sqref="B98:D98">
    <cfRule type="expression" dxfId="40" priority="8">
      <formula>$B$98="Verankerung Mittelbereich nicht zulässig"</formula>
    </cfRule>
  </conditionalFormatting>
  <conditionalFormatting sqref="C108">
    <cfRule type="expression" dxfId="39" priority="7">
      <formula>$C$108&gt;100</formula>
    </cfRule>
  </conditionalFormatting>
  <conditionalFormatting sqref="D108">
    <cfRule type="expression" dxfId="38" priority="6">
      <formula>$D$108&gt;100</formula>
    </cfRule>
  </conditionalFormatting>
  <conditionalFormatting sqref="B109:D109">
    <cfRule type="expression" dxfId="37" priority="5">
      <formula>$B$109="Verankerung Randbereich nicht zulässig"</formula>
    </cfRule>
  </conditionalFormatting>
  <conditionalFormatting sqref="G58:J58">
    <cfRule type="cellIs" dxfId="36" priority="4" operator="equal">
      <formula>"Falsche Dimension Kopfbolzen"</formula>
    </cfRule>
  </conditionalFormatting>
  <pageMargins left="0.82677165354330717" right="0.23622047244094491" top="0.74803149606299213" bottom="0.74803149606299213" header="0.31496062992125984" footer="0.31496062992125984"/>
  <pageSetup paperSize="9" scale="97" orientation="portrait" r:id="rId2"/>
  <headerFooter alignWithMargins="0">
    <oddHeader>&amp;C&amp;K00+000&amp;G</oddHeader>
    <oddFooter>Seite &amp;P von &amp;N</oddFooter>
  </headerFooter>
  <rowBreaks count="6" manualBreakCount="6">
    <brk id="60" max="9" man="1"/>
    <brk id="113" max="9" man="1"/>
    <brk id="168" max="9" man="1"/>
    <brk id="225" max="9" man="1"/>
    <brk id="286" max="9" man="1"/>
    <brk id="323" max="9" man="1"/>
  </rowBreaks>
  <ignoredErrors>
    <ignoredError sqref="D105 D94" unlockedFormula="1"/>
  </ignoredError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 id="{B26C5A2E-490E-42FF-9417-DC9732945715}">
            <xm:f>Eingabe!AC32=1</xm:f>
            <x14:dxf>
              <font>
                <b/>
                <i val="0"/>
                <color theme="1"/>
              </font>
              <fill>
                <patternFill>
                  <bgColor rgb="FFC00000"/>
                </patternFill>
              </fill>
            </x14:dxf>
          </x14:cfRule>
          <xm:sqref>A45:E45</xm:sqref>
        </x14:conditionalFormatting>
        <x14:conditionalFormatting xmlns:xm="http://schemas.microsoft.com/office/excel/2006/main">
          <x14:cfRule type="expression" priority="2" id="{9DCF3858-7D5C-426C-AB89-B149476B0336}">
            <xm:f>Eingabe!N2=0</xm:f>
            <x14:dxf>
              <font>
                <color theme="0"/>
              </font>
            </x14:dxf>
          </x14:cfRule>
          <xm:sqref>B49</xm:sqref>
        </x14:conditionalFormatting>
        <x14:conditionalFormatting xmlns:xm="http://schemas.microsoft.com/office/excel/2006/main">
          <x14:cfRule type="expression" priority="1" id="{86E2D7BB-28EA-456B-8D19-FCD4C855A93D}">
            <xm:f>Eingabe!N2=0</xm:f>
            <x14:dxf>
              <font>
                <color theme="0"/>
              </font>
            </x14:dxf>
          </x14:cfRule>
          <xm:sqref>D49:E49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8</vt:i4>
      </vt:variant>
    </vt:vector>
  </HeadingPairs>
  <TitlesOfParts>
    <vt:vector size="11" baseType="lpstr">
      <vt:lpstr>Haftung</vt:lpstr>
      <vt:lpstr>Kontakt</vt:lpstr>
      <vt:lpstr>Hilti Richtdetails</vt:lpstr>
      <vt:lpstr>'Ausdruck_1-reihig'!Druckbereich</vt:lpstr>
      <vt:lpstr>'Ausdruck_1-reihig+Bew.,Schw.'!Druckbereich</vt:lpstr>
      <vt:lpstr>'Ausdruck_2-reihig'!Druckbereich</vt:lpstr>
      <vt:lpstr>'Ausdruck_2-reihig+Bew.,Schw.'!Druckbereich</vt:lpstr>
      <vt:lpstr>Einwirkungen!Druckbereich</vt:lpstr>
      <vt:lpstr>'Hilti Richtdetails'!Druckbereich</vt:lpstr>
      <vt:lpstr>Kappe!Druckbereich</vt:lpstr>
      <vt:lpstr>Tragwerk!Druckbereich</vt:lpstr>
    </vt:vector>
  </TitlesOfParts>
  <Company>Hilti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fellmar</dc:creator>
  <cp:lastModifiedBy>Luetzow, Thomas</cp:lastModifiedBy>
  <cp:lastPrinted>2020-09-28T09:03:53Z</cp:lastPrinted>
  <dcterms:created xsi:type="dcterms:W3CDTF">2006-11-14T09:47:27Z</dcterms:created>
  <dcterms:modified xsi:type="dcterms:W3CDTF">2020-09-28T09:18:10Z</dcterms:modified>
</cp:coreProperties>
</file>